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ersons/person.xml" ContentType="application/vnd.ms-excel.person+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tilipolku-my.sharepoint.com/personal/harri_kolu_tilipolku_fi/Documents/Tiedostot/Claude/Kela2027/"/>
    </mc:Choice>
  </mc:AlternateContent>
  <xr:revisionPtr revIDLastSave="585" documentId="8_{F3D78D3B-3DD1-41DB-8CC1-3F4498CBCE52}" xr6:coauthVersionLast="47" xr6:coauthVersionMax="47" xr10:uidLastSave="{83BA9960-F527-4C77-970C-0A5885FD8FF7}"/>
  <bookViews>
    <workbookView xWindow="18105" yWindow="1710" windowWidth="28860" windowHeight="18450" xr2:uid="{72C9FA74-F043-45EC-9AC3-FB37056546E4}"/>
  </bookViews>
  <sheets>
    <sheet name="Etusivu" sheetId="4" r:id="rId1"/>
    <sheet name="Palveluntuottajat" sheetId="5" r:id="rId2"/>
    <sheet name="Operaattorihinnat" sheetId="1" r:id="rId3"/>
    <sheet name="Oletukset" sheetId="3" r:id="rId4"/>
    <sheet name="Laskuri" sheetId="2"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warnBelowVersion="2" setVersion="2"/>
    </ext>
  </extLst>
</workbook>
</file>

<file path=xl/calcChain.xml><?xml version="1.0" encoding="utf-8"?>
<calcChain xmlns="http://schemas.openxmlformats.org/spreadsheetml/2006/main">
  <c r="C81" i="2" l="1"/>
  <c r="B81" i="2"/>
  <c r="A81" i="2"/>
  <c r="C80" i="2"/>
  <c r="B80" i="2"/>
  <c r="A80" i="2"/>
  <c r="C79" i="2"/>
  <c r="B79" i="2"/>
  <c r="A79" i="2"/>
  <c r="C78" i="2"/>
  <c r="B78" i="2"/>
  <c r="A78" i="2"/>
  <c r="C77" i="2"/>
  <c r="B77" i="2"/>
  <c r="A77" i="2"/>
  <c r="C57" i="2"/>
  <c r="C56" i="2"/>
  <c r="C61" i="2" s="1" a="1"/>
  <c r="C61" i="2" s="1"/>
  <c r="C73" i="2"/>
  <c r="B73" i="2"/>
  <c r="A73" i="2"/>
  <c r="C72" i="2"/>
  <c r="B72" i="2"/>
  <c r="A72" i="2"/>
  <c r="C71" i="2"/>
  <c r="B71" i="2"/>
  <c r="A71" i="2"/>
  <c r="C70" i="2"/>
  <c r="B70" i="2"/>
  <c r="A70" i="2"/>
  <c r="C69" i="2"/>
  <c r="B69" i="2"/>
  <c r="A69" i="2"/>
  <c r="B57" i="2"/>
  <c r="B40" i="2" s="1" a="1"/>
  <c r="B40" i="2" s="1"/>
  <c r="B56" i="2"/>
  <c r="B61" i="2" s="1" a="1"/>
  <c r="B61" i="2" s="1"/>
  <c r="D40" i="2"/>
  <c r="D35" i="2"/>
  <c r="C40" i="2" a="1"/>
  <c r="C40" i="2" s="1"/>
  <c r="C39" i="2"/>
  <c r="C29" i="2"/>
  <c r="C28" i="2"/>
  <c r="B39" i="2"/>
  <c r="B29" i="2"/>
  <c r="B28" i="2"/>
  <c r="B22" i="2"/>
  <c r="B13" i="2"/>
  <c r="B19" i="2" s="1"/>
  <c r="B26" i="2" s="1"/>
  <c r="C4" i="2"/>
  <c r="C49" i="2" s="1"/>
  <c r="B4" i="2"/>
  <c r="B49" i="2" s="1"/>
  <c r="G23" i="1"/>
  <c r="H23" i="1"/>
  <c r="G24" i="1"/>
  <c r="H24" i="1"/>
  <c r="G25" i="1"/>
  <c r="H25" i="1"/>
  <c r="G26" i="1"/>
  <c r="H26" i="1"/>
  <c r="H22" i="1"/>
  <c r="G22" i="1"/>
  <c r="G13" i="1"/>
  <c r="H13" i="1"/>
  <c r="G14" i="1"/>
  <c r="H14" i="1"/>
  <c r="G15" i="1"/>
  <c r="H15" i="1"/>
  <c r="G16" i="1"/>
  <c r="H16" i="1"/>
  <c r="G17" i="1"/>
  <c r="H17" i="1"/>
  <c r="H12" i="1"/>
  <c r="G12" i="1"/>
  <c r="C26" i="2" l="1"/>
  <c r="C59" i="2" a="1"/>
  <c r="C59" i="2" s="1"/>
  <c r="C60" i="2" a="1"/>
  <c r="C60" i="2" s="1"/>
  <c r="C37" i="2" a="1"/>
  <c r="C37" i="2" s="1"/>
  <c r="C63" i="2" s="1"/>
  <c r="B59" i="2" a="1"/>
  <c r="B59" i="2" s="1"/>
  <c r="B62" i="2" s="1"/>
  <c r="B60" i="2" a="1"/>
  <c r="B60" i="2" s="1"/>
  <c r="B25" i="2"/>
  <c r="A67" i="2"/>
  <c r="B34" i="2"/>
  <c r="B43" i="2"/>
  <c r="C25" i="2"/>
  <c r="C34" i="2"/>
  <c r="A75" i="2"/>
  <c r="C43" i="2"/>
  <c r="B37" i="2" a="1"/>
  <c r="B37" i="2" s="1"/>
  <c r="B21" i="2"/>
  <c r="B20" i="2"/>
  <c r="G20" i="5"/>
  <c r="D20" i="5"/>
  <c r="G19" i="5"/>
  <c r="D19" i="5"/>
  <c r="G18" i="5"/>
  <c r="D18" i="5"/>
  <c r="G17" i="5"/>
  <c r="D17" i="5"/>
  <c r="G16" i="5"/>
  <c r="D16" i="5"/>
  <c r="G15" i="5"/>
  <c r="D15" i="5"/>
  <c r="G14" i="5"/>
  <c r="D14" i="5"/>
  <c r="G13" i="5"/>
  <c r="D13" i="5"/>
  <c r="G12" i="5"/>
  <c r="D12" i="5"/>
  <c r="G11" i="5"/>
  <c r="D11" i="5"/>
  <c r="G10" i="5"/>
  <c r="D10" i="5"/>
  <c r="G9" i="5"/>
  <c r="D9" i="5"/>
  <c r="G8" i="5"/>
  <c r="D8" i="5"/>
  <c r="G7" i="5"/>
  <c r="D7" i="5"/>
  <c r="G6" i="5"/>
  <c r="D6" i="5"/>
  <c r="G5" i="5"/>
  <c r="D5" i="5"/>
  <c r="G4" i="5"/>
  <c r="D4" i="5"/>
  <c r="C62" i="2" l="1"/>
  <c r="D81" i="2" s="1"/>
  <c r="E81" i="2" s="1"/>
  <c r="F81" i="2" s="1"/>
  <c r="B27" i="2"/>
  <c r="B30" i="2" s="1"/>
  <c r="C27" i="2"/>
  <c r="C30" i="2" s="1"/>
  <c r="B23" i="2"/>
  <c r="B36" i="2"/>
  <c r="C36" i="2"/>
  <c r="B63" i="2"/>
  <c r="B6" i="3"/>
  <c r="D77" i="2" l="1"/>
  <c r="E77" i="2" s="1"/>
  <c r="F77" i="2" s="1"/>
  <c r="C65" i="2" s="1"/>
  <c r="D78" i="2"/>
  <c r="E78" i="2" s="1"/>
  <c r="F78" i="2" s="1"/>
  <c r="D80" i="2"/>
  <c r="E80" i="2" s="1"/>
  <c r="F80" i="2" s="1"/>
  <c r="D79" i="2"/>
  <c r="E79" i="2" s="1"/>
  <c r="F79" i="2" s="1"/>
  <c r="B32" i="2"/>
  <c r="B35" i="2"/>
  <c r="B38" i="2" a="1"/>
  <c r="B38" i="2" s="1"/>
  <c r="B31" i="2"/>
  <c r="C38" i="2" a="1"/>
  <c r="C38" i="2" s="1"/>
  <c r="C31" i="2"/>
  <c r="C32" i="2"/>
  <c r="C35" i="2"/>
  <c r="C45" i="2"/>
  <c r="C50" i="2" s="1" a="1"/>
  <c r="C50" i="2" s="1"/>
  <c r="B45" i="2"/>
  <c r="B50" i="2" s="1" a="1"/>
  <c r="B50" i="2" s="1"/>
  <c r="D45" i="2"/>
  <c r="D72" i="2"/>
  <c r="E72" i="2" s="1"/>
  <c r="F72" i="2" s="1"/>
  <c r="D70" i="2"/>
  <c r="E70" i="2" s="1"/>
  <c r="F70" i="2" s="1"/>
  <c r="D73" i="2"/>
  <c r="E73" i="2" s="1"/>
  <c r="F73" i="2" s="1"/>
  <c r="D71" i="2"/>
  <c r="E71" i="2" s="1"/>
  <c r="F71" i="2" s="1"/>
  <c r="D69" i="2"/>
  <c r="E69" i="2" s="1"/>
  <c r="F69" i="2" s="1"/>
  <c r="C64" i="2" l="1"/>
  <c r="C41" i="2"/>
  <c r="C44" i="2" s="1"/>
  <c r="C46" i="2" s="1"/>
  <c r="C47" i="2" s="1"/>
  <c r="B58" i="2"/>
  <c r="B51" i="2" s="1"/>
  <c r="C58" i="2"/>
  <c r="C51" i="2" s="1"/>
  <c r="B41" i="2"/>
  <c r="B44" i="2" s="1"/>
  <c r="B46" i="2" s="1"/>
  <c r="B47" i="2" s="1"/>
  <c r="B65" i="2"/>
  <c r="B64" i="2"/>
  <c r="C53" i="2"/>
  <c r="C52" i="2"/>
  <c r="B53" i="2" l="1"/>
  <c r="B52"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<sst xmlns="http://schemas.openxmlformats.org/spreadsheetml/2006/main" count="226" uniqueCount="190">
  <si>
    <t>Kela-maksut</t>
  </si>
  <si>
    <t>Lähtötiedot</t>
  </si>
  <si>
    <t>Tuotot</t>
  </si>
  <si>
    <t>Lähtömaksu/kyyti</t>
  </si>
  <si>
    <t>Kertamaksut</t>
  </si>
  <si>
    <t>Ajoneuvolaite (kertamaksu)</t>
  </si>
  <si>
    <t>Kuukausimaksut</t>
  </si>
  <si>
    <t>Tiedonsiirto Cabman, Mitax (kk)</t>
  </si>
  <si>
    <t>Tiedonsiirto Semel (kk)</t>
  </si>
  <si>
    <t>Välitys 1</t>
  </si>
  <si>
    <t>Välitys 2</t>
  </si>
  <si>
    <t>Välitys 3</t>
  </si>
  <si>
    <t>Välitys 4</t>
  </si>
  <si>
    <t>Oletukset</t>
  </si>
  <si>
    <t>Sopimuskausi (kk)</t>
  </si>
  <si>
    <t>Kuljettajan palkka+sivukulut tuotoista (%)</t>
  </si>
  <si>
    <t>provisio+lomakorvaus+sivukulut, lähtökohtaisesti yrittäjän pitäisi saada sama palkka kuin kuljettaja</t>
  </si>
  <si>
    <t>Autokulut/km (€)</t>
  </si>
  <si>
    <t>Ajoaika alle 30 km (km/h)</t>
  </si>
  <si>
    <t>Ajoaika 31-60 km (km/h)</t>
  </si>
  <si>
    <t>Ajoaika yli 60 km (km/h)</t>
  </si>
  <si>
    <t>Aika alaraja (h/kk)</t>
  </si>
  <si>
    <t>&lt; 25 h</t>
  </si>
  <si>
    <t>vähän</t>
  </si>
  <si>
    <t>25–50 h</t>
  </si>
  <si>
    <t xml:space="preserve">jonkin verran </t>
  </si>
  <si>
    <t>51–75 h</t>
  </si>
  <si>
    <t>noin puolet</t>
  </si>
  <si>
    <t>76–100 h</t>
  </si>
  <si>
    <t>merkittävä määrä</t>
  </si>
  <si>
    <t>&gt; 100 h</t>
  </si>
  <si>
    <t>pääosin</t>
  </si>
  <si>
    <t>Kannattavuuslaskuri – Kela-taksit 2027</t>
  </si>
  <si>
    <t>kyytiä kuukaudessa</t>
  </si>
  <si>
    <t>Keskimääräinen matka / kyyti</t>
  </si>
  <si>
    <t>asiakaskyydin pituus, km</t>
  </si>
  <si>
    <t>Luokseajomatka / kyyti</t>
  </si>
  <si>
    <t>tyhjänä asiakkaan luo ajettu matka, km</t>
  </si>
  <si>
    <t>Paluukyytien osuus</t>
  </si>
  <si>
    <t>% kyydeistä, joista maksetaan myös paluumatka</t>
  </si>
  <si>
    <t>Semel-tiedonsiirto</t>
  </si>
  <si>
    <t>Kyllä = kalliimpi Semel-tiedonsiirto</t>
  </si>
  <si>
    <t>Maksetut kyydit (sis. paluukyydit)</t>
  </si>
  <si>
    <t>kyydit × (1 + paluu-%)</t>
  </si>
  <si>
    <t>Korvattavat kilometrit (tuottoihin)</t>
  </si>
  <si>
    <t>asiakaskm + paluukyytien paluukm</t>
  </si>
  <si>
    <t>Auton ajamat kilometrit (kuluihin)</t>
  </si>
  <si>
    <t>(2 × matka + luokseajo) × kyydit</t>
  </si>
  <si>
    <t>Keskinopeus (km/h)</t>
  </si>
  <si>
    <t>matkan pituuden mukaan Lähtötiedoista</t>
  </si>
  <si>
    <t>Kyyteihin kuluva aika</t>
  </si>
  <si>
    <t>auton ajamat km / keskinopeus</t>
  </si>
  <si>
    <t>Lähtömaksutuotot</t>
  </si>
  <si>
    <t>maksetut kyydit × lähtömaksu</t>
  </si>
  <si>
    <t>Kilometrituotot</t>
  </si>
  <si>
    <t>korvattavat km × ajomaksu</t>
  </si>
  <si>
    <t>Tuotot yhteensä</t>
  </si>
  <si>
    <t>tuotot yhteensä / auton ajamat km</t>
  </si>
  <si>
    <t>Kuljettajan palkka + sivukulut</t>
  </si>
  <si>
    <t>Autokulut</t>
  </si>
  <si>
    <t>auton ajamat km × €/km (sis. luokseajo)</t>
  </si>
  <si>
    <t>Välityksen kk-maksu</t>
  </si>
  <si>
    <t>Välitysprovisio</t>
  </si>
  <si>
    <t>Tiedonsiirto</t>
  </si>
  <si>
    <t>tavallinen / Semel</t>
  </si>
  <si>
    <t>Kertamaksujen jaksotus</t>
  </si>
  <si>
    <t>Kustannukset yhteensä</t>
  </si>
  <si>
    <t>Kate (tuotot – kustannukset)</t>
  </si>
  <si>
    <t>Yli / ali tavoitteen</t>
  </si>
  <si>
    <t>Kannattaako liittyä?</t>
  </si>
  <si>
    <t>Kyllä</t>
  </si>
  <si>
    <t>Palkkaprosentti (%)</t>
  </si>
  <si>
    <t>Lomakorvausprosentti (%)</t>
  </si>
  <si>
    <t>Sivukuluprosentti (%)</t>
  </si>
  <si>
    <t>Konnektio</t>
  </si>
  <si>
    <t>tuotot yhteensä / kyyteihin kuluva aika</t>
  </si>
  <si>
    <t>Ajotuotot / h</t>
  </si>
  <si>
    <t>ei sisällä kiinteitä kustannuksia</t>
  </si>
  <si>
    <t>Ajotuotot / km</t>
  </si>
  <si>
    <t>Tarve / km</t>
  </si>
  <si>
    <t>K-S MYK</t>
  </si>
  <si>
    <t>Palkka-% max</t>
  </si>
  <si>
    <t>Keski-Suomi</t>
  </si>
  <si>
    <t>Kela-matkojen palveluntuottajat vuosille 2027-2030</t>
  </si>
  <si>
    <t>Maakunta</t>
  </si>
  <si>
    <t>Palveluntuottaja 1</t>
  </si>
  <si>
    <t>Sija 1 Hinta</t>
  </si>
  <si>
    <t>Alv 0</t>
  </si>
  <si>
    <t>Palveluntuottaja 2</t>
  </si>
  <si>
    <t>Sija 2 Hinta</t>
  </si>
  <si>
    <t>Uusimaa</t>
  </si>
  <si>
    <t>Varsinais-Suomi</t>
  </si>
  <si>
    <t>Päijät-Häme</t>
  </si>
  <si>
    <t>Lahden Aluetaksi</t>
  </si>
  <si>
    <t>Tampereen Aluetaksi</t>
  </si>
  <si>
    <t>Etelä-Savo</t>
  </si>
  <si>
    <t>Joensuun Taksi</t>
  </si>
  <si>
    <t>Pohjois-Karjala</t>
  </si>
  <si>
    <t>Kainuu</t>
  </si>
  <si>
    <t>Lappi</t>
  </si>
  <si>
    <t>Keski- ja Pohjoispohjanmaa</t>
  </si>
  <si>
    <t>Pohjois-Suomen Taksi</t>
  </si>
  <si>
    <t>Kanta-Häme</t>
  </si>
  <si>
    <t>Kymenlaakso</t>
  </si>
  <si>
    <t>Kymenlaakson Taksi</t>
  </si>
  <si>
    <t>Pirkanmaa</t>
  </si>
  <si>
    <t>Pohjanmaa</t>
  </si>
  <si>
    <t>Keskustaksi</t>
  </si>
  <si>
    <t>Pohjois-Savo</t>
  </si>
  <si>
    <t>Satakunta</t>
  </si>
  <si>
    <t>Etelä-Pohjanmaa</t>
  </si>
  <si>
    <t>Etelä-Karjala</t>
  </si>
  <si>
    <t>Taksi Helsinki</t>
  </si>
  <si>
    <t>Viedäänkö laskuriin</t>
  </si>
  <si>
    <t>Kiinteät kulut / kk (€)</t>
  </si>
  <si>
    <t>Tuntiraja alk.</t>
  </si>
  <si>
    <t>Tuntiraja asti</t>
  </si>
  <si>
    <t>Kyytejä tarv.</t>
  </si>
  <si>
    <t>Tunteja tarv.</t>
  </si>
  <si>
    <t>Kelvollinen</t>
  </si>
  <si>
    <t>Odotusmaksu</t>
  </si>
  <si>
    <t>Avustamislisä</t>
  </si>
  <si>
    <t>Paari- ja porrasvetolisä</t>
  </si>
  <si>
    <t>Ajomaksu/km taksaluokka 1</t>
  </si>
  <si>
    <t>Ajomaksu/km taksaluokka 2</t>
  </si>
  <si>
    <t>Kyytejä tavallinen / kk</t>
  </si>
  <si>
    <t>Kyytejä esteetön avustamislisällä / kk</t>
  </si>
  <si>
    <t>esteetön kyytejä, joissa avustamislisä, kk</t>
  </si>
  <si>
    <t>Kyytejä esteetön paari-/porrasvedolla / kk</t>
  </si>
  <si>
    <t>esteetön kyytejä, joissa paari-/porrasvetolisä, kk</t>
  </si>
  <si>
    <t>Kyytejä yhteensä / kk</t>
  </si>
  <si>
    <t>tavalliset + avustamislisä + paari-/porrasveto</t>
  </si>
  <si>
    <t>Avustamislisätuotot</t>
  </si>
  <si>
    <t>avustamislisä-kyydit × (1 + paluu-%) × avustamislisä</t>
  </si>
  <si>
    <t>Paari-/porrasvetotuotot</t>
  </si>
  <si>
    <t>paari-/porrasveto-kyydit × (1 + paluu-%) × paari-/porrasvetolisä</t>
  </si>
  <si>
    <t>Marginaali / kyyti, tavallinen (€)</t>
  </si>
  <si>
    <t>Lisä / avustamislisä-kyyti (€)</t>
  </si>
  <si>
    <t>Lisä / paari-/porrasveto-kyyti (€)</t>
  </si>
  <si>
    <t>Marginaali / kyyti, painotettu keskiarvo (€)</t>
  </si>
  <si>
    <t>Katetavoite ajan mukaan</t>
  </si>
  <si>
    <t>Katetavoite (€/kk)</t>
  </si>
  <si>
    <t>laskurin katetavoitteella katetaan yrityksen kiinteät kulut</t>
  </si>
  <si>
    <t>Katetavoite / kk (ajan mukaan)</t>
  </si>
  <si>
    <t>Katetavoite</t>
  </si>
  <si>
    <t>ajomaksu / km, jotta kate = katetavoite</t>
  </si>
  <si>
    <t>KSMYK</t>
  </si>
  <si>
    <t>Arvonlisävero (%)</t>
  </si>
  <si>
    <t>provisio lasketaan alv:llisesta tuotosta</t>
  </si>
  <si>
    <t>Avaus 1 EV</t>
  </si>
  <si>
    <t>Avaus 2 EV</t>
  </si>
  <si>
    <t>Avaus 3 EV</t>
  </si>
  <si>
    <t>Avaus 1</t>
  </si>
  <si>
    <t>Avaus 2</t>
  </si>
  <si>
    <t>Avaus 3</t>
  </si>
  <si>
    <t>Välitys 5</t>
  </si>
  <si>
    <t>Avaus 1 – 99,00 € avausmaksu</t>
  </si>
  <si>
    <t>Avausmaksupaketti</t>
  </si>
  <si>
    <t>Välitys 1 – 69,95 €/kk + 5,70 % provisio</t>
  </si>
  <si>
    <t>Avaus 1 – 250,00 € avausmaksu</t>
  </si>
  <si>
    <t>Valikko: avausmaksut KSMYK</t>
  </si>
  <si>
    <t>Valikko: avausmaksut Konnektio</t>
  </si>
  <si>
    <t>Valikko: välitys KSMYK</t>
  </si>
  <si>
    <t>Valikko: välitys Konnektio</t>
  </si>
  <si>
    <t>1. OPERAATTORIVALINNAT</t>
  </si>
  <si>
    <t>Välitysvaihtoehto</t>
  </si>
  <si>
    <t>valitse kummallekin operaattorille erikseen</t>
  </si>
  <si>
    <t>sisältää liittymis- ja avausmaksut</t>
  </si>
  <si>
    <t>2. KYYTITIEDOT</t>
  </si>
  <si>
    <t>3. AJOSUORITTEET / KK</t>
  </si>
  <si>
    <t>4. TUOTOT / KK</t>
  </si>
  <si>
    <t>5. KUSTANNUKSET / KK</t>
  </si>
  <si>
    <t>6. TULOS</t>
  </si>
  <si>
    <t>valitun välitysvaihtoehdon kk-maksu</t>
  </si>
  <si>
    <t>provisio alv:llisesta tuotosta</t>
  </si>
  <si>
    <t>APUTIEDOT</t>
  </si>
  <si>
    <t>Välitysvaihtoehdon rivi</t>
  </si>
  <si>
    <t>Avausmaksupaketin rivi</t>
  </si>
  <si>
    <t>Raaka palkkaprosentti (%)</t>
  </si>
  <si>
    <t>Kyytitarve (kelvollinen porras)</t>
  </si>
  <si>
    <t>Tuntitarve (kelvollinen porras)</t>
  </si>
  <si>
    <t>7. HERKKYYS</t>
  </si>
  <si>
    <t>Kyytitarve / kk</t>
  </si>
  <si>
    <t>Ajoaikatarve (h/kk)</t>
  </si>
  <si>
    <t>palkkaprosentti, jotta kate = katetavoite</t>
  </si>
  <si>
    <t>kyytejä/kk, jotta kate ylittää katetavoitteen</t>
  </si>
  <si>
    <t>ajoaika, jolla kate ylittää katetavoitteen</t>
  </si>
  <si>
    <t>Syötä omat arviosi sinisiin soluihin. Molempien operaattoreiden luvut lasketaan rinnakkain (sarakkeet B ja C); operaattori näytetään, jos sen "Viedäänkö laskuriin" = Kyllä.</t>
  </si>
  <si>
    <t>Välitys 3 – 99,00 €/kk + 4,15 % provisio</t>
  </si>
  <si>
    <t>Kannattavuuslaskuri Kela 2027-2030
Yleistä
Tämä taulukko on laadittu työkaluksi Kela 2027 sopimusharkintaan. Taulukko on rakennettu niin, että voit muokata useita sen kenttiä yrityksesi toimintaan sopivaksi. Muokattavat kentät on merkitty taulukossa sinisellä värillä. Kysy tarvittaessa kirjanpitäjältäsi tietoja yrityksesi kustannusrakenteesta, niin saat laskennasta tarkemman. Taulukossa ei huomioida tulona odotusajalta maksettavia korvauksia eikä palvelutuottajan mahdollisesti maksamia luokseajokorvauksia. Taulukko on laskettu yhden ajoneuvon suoritteille. Jos yritykselläsi on useita ajoneuvoja tai sekä esteettömiä ja tavallisia takseja, suorita laskenta molemmille ajoneuvoille erikseen. Tarvittaessa voit muuttaa kiinteisiin kuluihin varattua katetavoitetta taulukossa Oletukset.
Taulukon arvoilla vahvistuu entisestään tieto, että kaupunkitakseille erityisesti pitkien kyytien ajaminen on kannattamatonta/heikosti kannattavaa ja myös maakuntataksien osalta vaaditaan suurta paluukyytien osuutta kannattavan liikenteen aikaansaamiseksi. Yleisenä ohjeena voitaneen todeta, että ennen päätöksentekoa kannattaa odottaa alueen molemman palveluntuottajan sopimusehdot ja veloitukset ja katsoa sen jälkeen kumpi niistä on itselle sopiva vai onko kumpikaan.
Taulukon julkaisija ei ota vastuuta taulukon mahdollisista virheistä eikä taulukon antamista sopimuksen tekoa ohjaavista suosituksista. Jokainen autoilija tekee itse liittymispäätöksen eikä julkaisijan tarve ole ohjata päätöksentekoa.
Käyttöohje
1)      Tallenna Operaattorihintoihin maakuntasi palveluntuottajien hinnat. Viedäänkö laskuriin rivillä voit päättää, onko palvelutuottaja laskurissa valittavissa. Jos palveluntuottajan hinnat puuttuvat, jätä palveluntuottajan kohdalla kyseisen kentän arvoksi Ei.
2)      Tarkista Oletukset taulukossa erityisesti palkkaprosentti ja autokulut/km. Älä hinnoittele yrittäjänä omaa työpanostasi kuljettajaa halvemmaksi.
3)      Valitse Laskurissa Välitysvaihtoehto ja Avausmaksuvaihtoehto.
4)      Merkitse Laskuriin arvioimasi kyytimäärät.
TaxiFacta 24.8.2026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</si>
</sst>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00\ \€;[Red]\-#,##0.00\ \€"/>
    <numFmt numFmtId="165" formatCode="#,##0.00\ &quot;€/km&quot;"/>
    <numFmt numFmtId="166" formatCode="#,##0.00\ &quot;€/h&quot;"/>
    <numFmt numFmtId="167" formatCode="0.0"/>
    <numFmt numFmtId="168" formatCode="#,##0.0&quot; km&quot;"/>
    <numFmt numFmtId="169" formatCode="0&quot; %&quot;"/>
    <numFmt numFmtId="170" formatCode="#,##0&quot; km&quot;"/>
    <numFmt numFmtId="171" formatCode="0&quot; km/h&quot;"/>
    <numFmt numFmtId="172" formatCode="#,##0.0&quot; h&quot;"/>
    <numFmt numFmtId="173" formatCode="#,##0.00\ \€;\(#,##0.00\ \€\);\-"/>
    <numFmt numFmtId="174" formatCode="0.0&quot; %&quot;"/>
  </numFmts>
  <fonts count="15" x14ac:knownFonts="1">
    <font>
      <sz val="11"/>
      <color theme="1"/>
      <name val="Aptos Narrow"/>
      <family val="2"/>
      <scheme val="minor"/>
    </font>
    <font>
      <b/>
      <sz val="11"/>
      <color theme="1"/>
      <name val="Aptos Narrow"/>
      <family val="2"/>
      <scheme val="minor"/>
    </font>
    <font>
      <b/>
      <sz val="14"/>
      <color theme="1"/>
      <name val="Aptos Narrow"/>
      <family val="2"/>
      <scheme val="minor"/>
    </font>
    <font>
      <i/>
      <sz val="11"/>
      <color rgb="FF666666"/>
      <name val="Aptos Narrow"/>
      <family val="2"/>
      <scheme val="minor"/>
    </font>
    <font>
      <sz val="11"/>
      <color rgb="FF0000FF"/>
      <name val="Aptos Narrow"/>
      <family val="2"/>
      <scheme val="minor"/>
    </font>
    <font>
      <sz val="11"/>
      <color rgb="FF888888"/>
      <name val="Aptos Narrow"/>
      <family val="2"/>
      <scheme val="minor"/>
    </font>
    <font>
      <sz val="11"/>
      <color theme="1"/>
      <name val="Aptos Narrow"/>
      <scheme val="minor"/>
    </font>
    <font>
      <b/>
      <sz val="11"/>
      <color theme="1"/>
      <name val="Aptos Narrow"/>
      <scheme val="minor"/>
    </font>
    <font>
      <sz val="11"/>
      <color rgb="FF888888"/>
      <name val="Aptos Narrow"/>
      <scheme val="minor"/>
    </font>
    <font>
      <sz val="11"/>
      <color rgb="FF0000FF"/>
      <name val="Aptos Narrow"/>
      <scheme val="minor"/>
    </font>
    <font>
      <sz val="11"/>
      <color rgb="FF000000"/>
      <name val="Aptos Narrow"/>
      <scheme val="minor"/>
    </font>
    <font>
      <sz val="11"/>
      <name val="Aptos Narrow"/>
      <family val="2"/>
      <scheme val="minor"/>
    </font>
    <font>
      <b/>
      <sz val="11"/>
      <color rgb="FF888888"/>
      <name val="Aptos Narrow"/>
      <family val="2"/>
      <scheme val="minor"/>
    </font>
    <font>
      <sz val="9"/>
      <color rgb="FF808080"/>
      <name val="Aptos Narrow"/>
      <family val="2"/>
      <scheme val="minor"/>
    </font>
    <font>
      <b/>
      <sz val="9"/>
      <color rgb="FF808080"/>
      <name val="Aptos Narrow"/>
      <family val="2"/>
      <scheme val="minor"/>
    </font>
  </fonts>
  <fills count="7">
    <fill>
      <patternFill patternType="none"/>
    </fill>
    <fill>
      <patternFill patternType="gray125"/>
    </fill>
    <fill>
      <patternFill patternType="solid">
        <fgColor rgb="FFE2EFDA"/>
        <bgColor indexed="64"/>
      </patternFill>
    </fill>
    <fill>
      <patternFill patternType="solid">
        <fgColor rgb="FFFCE4D6"/>
        <bgColor indexed="64"/>
      </patternFill>
    </fill>
    <fill>
      <patternFill patternType="solid">
        <fgColor rgb="FFFFF2CC"/>
        <bgColor indexed="64"/>
      </patternFill>
    </fill>
    <fill>
      <patternFill patternType="solid">
        <fgColor rgb="FFDDEBF7"/>
        <bgColor indexed="64"/>
      </patternFill>
    </fill>
    <fill>
      <patternFill patternType="solid">
        <fgColor rgb="FFF2F2F2"/>
        <bgColor indexed="64"/>
      </patternFill>
    </fill>
  </fills>
  <borders count="1">
    <border>
      <left/>
      <right/>
      <top/>
      <bottom/>
      <diagonal/>
    </border>
  </borders>
  <cellStyleXfs count="1">
    <xf numFmtId="0" fontId="0" fillId="0" borderId="0"/>
  </cellStyleXfs>
  <cellXfs count="60">
    <xf numFmtId="0" fontId="0" fillId="0" borderId="0" xfId="0"/>
    <xf numFmtId="0" fontId="1" fillId="0" borderId="0" xfId="0" applyFont="1"/>
    <xf numFmtId="0" fontId="1" fillId="0" borderId="0" xfId="0" applyFont="1" applyAlignment="1">
      <alignment horizontal="center"/>
    </xf>
    <xf numFmtId="0" fontId="11" fillId="0" borderId="0" xfId="0" applyFont="1"/>
    <xf numFmtId="2" fontId="11" fillId="0" borderId="0" xfId="0" applyNumberFormat="1" applyFont="1" applyAlignment="1">
      <alignment horizontal="center"/>
    </xf>
    <xf numFmtId="0" fontId="7" fillId="0" borderId="0" xfId="0" applyFont="1"/>
    <xf numFmtId="0" fontId="6" fillId="0" borderId="0" xfId="0" applyFont="1"/>
    <xf numFmtId="0" fontId="9" fillId="0" borderId="0" xfId="0" applyFont="1" applyProtection="1">
      <protection locked="0"/>
    </xf>
    <xf numFmtId="0" fontId="4" fillId="0" borderId="0" xfId="0" applyFont="1" applyProtection="1">
      <protection locked="0"/>
    </xf>
    <xf numFmtId="0" fontId="10" fillId="0" borderId="0" xfId="0" applyFont="1"/>
    <xf numFmtId="0" fontId="8" fillId="0" borderId="0" xfId="0" applyFont="1"/>
    <xf numFmtId="0" fontId="5" fillId="0" borderId="0" xfId="0" applyFont="1"/>
    <xf numFmtId="0" fontId="4" fillId="0" borderId="0" xfId="0" applyFont="1" applyAlignment="1" applyProtection="1">
      <alignment horizontal="right"/>
      <protection locked="0"/>
    </xf>
    <xf numFmtId="0" fontId="9" fillId="0" borderId="0" xfId="0" applyFont="1" applyAlignment="1" applyProtection="1">
      <alignment horizontal="right"/>
      <protection locked="0"/>
    </xf>
    <xf numFmtId="167" fontId="9" fillId="0" borderId="0" xfId="0" applyNumberFormat="1" applyFont="1" applyProtection="1">
      <protection locked="0"/>
    </xf>
    <xf numFmtId="0" fontId="2" fillId="0" borderId="0" xfId="0" applyFont="1" applyProtection="1">
      <protection locked="0"/>
    </xf>
    <xf numFmtId="0" fontId="0" fillId="0" borderId="0" xfId="0" applyProtection="1">
      <protection locked="0"/>
    </xf>
    <xf numFmtId="0" fontId="3" fillId="0" borderId="0" xfId="0" applyFont="1" applyProtection="1">
      <protection locked="0"/>
    </xf>
    <xf numFmtId="0" fontId="1" fillId="5" borderId="0" xfId="0" applyFont="1" applyFill="1" applyProtection="1">
      <protection locked="0"/>
    </xf>
    <xf numFmtId="0" fontId="1" fillId="5" borderId="0" xfId="0" applyFont="1" applyFill="1" applyAlignment="1" applyProtection="1">
      <alignment horizontal="right"/>
      <protection locked="0"/>
    </xf>
    <xf numFmtId="0" fontId="5" fillId="0" borderId="0" xfId="0" applyFont="1" applyProtection="1">
      <protection locked="0"/>
    </xf>
    <xf numFmtId="0" fontId="12" fillId="5" borderId="0" xfId="0" applyFont="1" applyFill="1" applyProtection="1">
      <protection locked="0"/>
    </xf>
    <xf numFmtId="1" fontId="4" fillId="0" borderId="0" xfId="0" applyNumberFormat="1" applyFont="1" applyAlignment="1" applyProtection="1">
      <alignment horizontal="right"/>
      <protection locked="0"/>
    </xf>
    <xf numFmtId="1" fontId="0" fillId="0" borderId="0" xfId="0" applyNumberFormat="1" applyProtection="1">
      <protection locked="0"/>
    </xf>
    <xf numFmtId="0" fontId="1" fillId="0" borderId="0" xfId="0" applyFont="1" applyProtection="1">
      <protection locked="0"/>
    </xf>
    <xf numFmtId="1" fontId="1" fillId="0" borderId="0" xfId="0" applyNumberFormat="1" applyFont="1" applyProtection="1">
      <protection locked="0"/>
    </xf>
    <xf numFmtId="168" fontId="4" fillId="0" borderId="0" xfId="0" applyNumberFormat="1" applyFont="1" applyAlignment="1" applyProtection="1">
      <alignment horizontal="right"/>
      <protection locked="0"/>
    </xf>
    <xf numFmtId="169" fontId="4" fillId="0" borderId="0" xfId="0" applyNumberFormat="1" applyFont="1" applyAlignment="1" applyProtection="1">
      <alignment horizontal="right"/>
      <protection locked="0"/>
    </xf>
    <xf numFmtId="0" fontId="1" fillId="2" borderId="0" xfId="0" applyFont="1" applyFill="1" applyProtection="1">
      <protection locked="0"/>
    </xf>
    <xf numFmtId="0" fontId="12" fillId="2" borderId="0" xfId="0" applyFont="1" applyFill="1" applyProtection="1">
      <protection locked="0"/>
    </xf>
    <xf numFmtId="170" fontId="0" fillId="0" borderId="0" xfId="0" applyNumberFormat="1" applyProtection="1">
      <protection locked="0"/>
    </xf>
    <xf numFmtId="171" fontId="0" fillId="0" borderId="0" xfId="0" applyNumberFormat="1" applyProtection="1">
      <protection locked="0"/>
    </xf>
    <xf numFmtId="172" fontId="0" fillId="0" borderId="0" xfId="0" applyNumberFormat="1" applyProtection="1">
      <protection locked="0"/>
    </xf>
    <xf numFmtId="0" fontId="1" fillId="2" borderId="0" xfId="0" applyFont="1" applyFill="1" applyAlignment="1" applyProtection="1">
      <alignment horizontal="right"/>
      <protection locked="0"/>
    </xf>
    <xf numFmtId="173" fontId="0" fillId="0" borderId="0" xfId="0" applyNumberFormat="1" applyProtection="1">
      <protection locked="0"/>
    </xf>
    <xf numFmtId="173" fontId="1" fillId="0" borderId="0" xfId="0" applyNumberFormat="1" applyFont="1" applyProtection="1">
      <protection locked="0"/>
    </xf>
    <xf numFmtId="165" fontId="0" fillId="0" borderId="0" xfId="0" applyNumberFormat="1" applyProtection="1">
      <protection locked="0"/>
    </xf>
    <xf numFmtId="166" fontId="0" fillId="0" borderId="0" xfId="0" applyNumberFormat="1" applyProtection="1">
      <protection locked="0"/>
    </xf>
    <xf numFmtId="0" fontId="1" fillId="3" borderId="0" xfId="0" applyFont="1" applyFill="1" applyProtection="1">
      <protection locked="0"/>
    </xf>
    <xf numFmtId="0" fontId="1" fillId="3" borderId="0" xfId="0" applyFont="1" applyFill="1" applyAlignment="1" applyProtection="1">
      <alignment horizontal="right"/>
      <protection locked="0"/>
    </xf>
    <xf numFmtId="0" fontId="12" fillId="3" borderId="0" xfId="0" applyFont="1" applyFill="1" applyProtection="1">
      <protection locked="0"/>
    </xf>
    <xf numFmtId="0" fontId="1" fillId="4" borderId="0" xfId="0" applyFont="1" applyFill="1" applyProtection="1">
      <protection locked="0"/>
    </xf>
    <xf numFmtId="0" fontId="1" fillId="4" borderId="0" xfId="0" applyFont="1" applyFill="1" applyAlignment="1" applyProtection="1">
      <alignment horizontal="right"/>
      <protection locked="0"/>
    </xf>
    <xf numFmtId="0" fontId="12" fillId="4" borderId="0" xfId="0" applyFont="1" applyFill="1" applyProtection="1">
      <protection locked="0"/>
    </xf>
    <xf numFmtId="164" fontId="0" fillId="0" borderId="0" xfId="0" applyNumberFormat="1" applyProtection="1">
      <protection locked="0"/>
    </xf>
    <xf numFmtId="0" fontId="1" fillId="0" borderId="0" xfId="0" applyFont="1" applyAlignment="1" applyProtection="1">
      <alignment horizontal="right"/>
      <protection locked="0"/>
    </xf>
    <xf numFmtId="0" fontId="1" fillId="6" borderId="0" xfId="0" applyFont="1" applyFill="1" applyProtection="1">
      <protection locked="0"/>
    </xf>
    <xf numFmtId="0" fontId="1" fillId="6" borderId="0" xfId="0" applyFont="1" applyFill="1" applyAlignment="1" applyProtection="1">
      <alignment horizontal="right"/>
      <protection locked="0"/>
    </xf>
    <xf numFmtId="0" fontId="12" fillId="6" borderId="0" xfId="0" applyFont="1" applyFill="1" applyProtection="1">
      <protection locked="0"/>
    </xf>
    <xf numFmtId="174" fontId="0" fillId="0" borderId="0" xfId="0" applyNumberFormat="1" applyAlignment="1" applyProtection="1">
      <alignment horizontal="right"/>
      <protection locked="0"/>
    </xf>
    <xf numFmtId="1" fontId="0" fillId="0" borderId="0" xfId="0" applyNumberFormat="1" applyAlignment="1" applyProtection="1">
      <alignment horizontal="right"/>
      <protection locked="0"/>
    </xf>
    <xf numFmtId="0" fontId="13" fillId="0" borderId="0" xfId="0" applyFont="1" applyProtection="1">
      <protection locked="0"/>
    </xf>
    <xf numFmtId="1" fontId="13" fillId="0" borderId="0" xfId="0" applyNumberFormat="1" applyFont="1" applyProtection="1">
      <protection locked="0"/>
    </xf>
    <xf numFmtId="167" fontId="13" fillId="0" borderId="0" xfId="0" applyNumberFormat="1" applyFont="1" applyProtection="1">
      <protection locked="0"/>
    </xf>
    <xf numFmtId="2" fontId="13" fillId="0" borderId="0" xfId="0" applyNumberFormat="1" applyFont="1" applyProtection="1">
      <protection locked="0"/>
    </xf>
    <xf numFmtId="0" fontId="14" fillId="0" borderId="0" xfId="0" applyFont="1" applyProtection="1">
      <protection locked="0"/>
    </xf>
    <xf numFmtId="1" fontId="0" fillId="6" borderId="0" xfId="0" applyNumberFormat="1" applyFill="1"/>
    <xf numFmtId="1" fontId="1" fillId="6" borderId="0" xfId="0" applyNumberFormat="1" applyFont="1" applyFill="1"/>
    <xf numFmtId="0" fontId="0" fillId="6" borderId="0" xfId="0" applyFill="1"/>
    <xf numFmtId="0" fontId="0" fillId="0" borderId="0" xfId="0" applyAlignment="1">
      <alignment horizontal="left" vertical="top" wrapText="1"/>
    </xf>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eetMetadata" Target="metadata.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e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9CC08C34-0BD8-4468-A708-0940DB5D3903}">
  <we:reference id="29673e3c-d826-4f00-92ee-162334a52b1a" version="1.0.0.8" store="EXCatalog" storeType="EXCatalog"/>
  <we:alternateReferences>
    <we:reference id="WA200009404" version="1.0.0.8" store="fi-FI" storeType="OMEX"/>
  </we:alternateReferences>
  <we:properties>
    <we:property name="claude.fileId" value="&quot;8156d2c7-229d-44f5-aeda-bec381a76bab&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39923-C935-4350-9F7E-9BC38B21FDDF}">
  <dimension ref="A1:H30"/>
  <sheetViews>
    <sheetView tabSelected="1" workbookViewId="0">
      <selection activeCell="C36" sqref="C36"/>
    </sheetView>
  </sheetViews>
  <sheetFormatPr defaultRowHeight="15" x14ac:dyDescent="0.25"/>
  <cols>
    <col min="1" max="1" width="20.140625" customWidth="1"/>
    <col min="2" max="3" width="17.7109375" customWidth="1"/>
    <col min="4" max="4" width="13.5703125" customWidth="1"/>
  </cols>
  <sheetData>
    <row r="1" spans="1:8" ht="35.1" customHeight="1" x14ac:dyDescent="0.25">
      <c r="A1" s="59" t="s">
        <v>189</v>
      </c>
      <c r="B1" s="59"/>
      <c r="C1" s="59"/>
      <c r="D1" s="59"/>
      <c r="E1" s="59"/>
      <c r="F1" s="59"/>
      <c r="G1" s="59"/>
      <c r="H1" s="59"/>
    </row>
    <row r="2" spans="1:8" x14ac:dyDescent="0.25">
      <c r="A2" s="59"/>
      <c r="B2" s="59"/>
      <c r="C2" s="59"/>
      <c r="D2" s="59"/>
      <c r="E2" s="59"/>
      <c r="F2" s="59"/>
      <c r="G2" s="59"/>
      <c r="H2" s="59"/>
    </row>
    <row r="3" spans="1:8" x14ac:dyDescent="0.25">
      <c r="A3" s="59"/>
      <c r="B3" s="59"/>
      <c r="C3" s="59"/>
      <c r="D3" s="59"/>
      <c r="E3" s="59"/>
      <c r="F3" s="59"/>
      <c r="G3" s="59"/>
      <c r="H3" s="59"/>
    </row>
    <row r="4" spans="1:8" ht="15" customHeight="1" x14ac:dyDescent="0.25">
      <c r="A4" s="59"/>
      <c r="B4" s="59"/>
      <c r="C4" s="59"/>
      <c r="D4" s="59"/>
      <c r="E4" s="59"/>
      <c r="F4" s="59"/>
      <c r="G4" s="59"/>
      <c r="H4" s="59"/>
    </row>
    <row r="5" spans="1:8" x14ac:dyDescent="0.25">
      <c r="A5" s="59"/>
      <c r="B5" s="59"/>
      <c r="C5" s="59"/>
      <c r="D5" s="59"/>
      <c r="E5" s="59"/>
      <c r="F5" s="59"/>
      <c r="G5" s="59"/>
      <c r="H5" s="59"/>
    </row>
    <row r="6" spans="1:8" x14ac:dyDescent="0.25">
      <c r="A6" s="59"/>
      <c r="B6" s="59"/>
      <c r="C6" s="59"/>
      <c r="D6" s="59"/>
      <c r="E6" s="59"/>
      <c r="F6" s="59"/>
      <c r="G6" s="59"/>
      <c r="H6" s="59"/>
    </row>
    <row r="7" spans="1:8" x14ac:dyDescent="0.25">
      <c r="A7" s="59"/>
      <c r="B7" s="59"/>
      <c r="C7" s="59"/>
      <c r="D7" s="59"/>
      <c r="E7" s="59"/>
      <c r="F7" s="59"/>
      <c r="G7" s="59"/>
      <c r="H7" s="59"/>
    </row>
    <row r="8" spans="1:8" x14ac:dyDescent="0.25">
      <c r="A8" s="59"/>
      <c r="B8" s="59"/>
      <c r="C8" s="59"/>
      <c r="D8" s="59"/>
      <c r="E8" s="59"/>
      <c r="F8" s="59"/>
      <c r="G8" s="59"/>
      <c r="H8" s="59"/>
    </row>
    <row r="9" spans="1:8" x14ac:dyDescent="0.25">
      <c r="A9" s="59"/>
      <c r="B9" s="59"/>
      <c r="C9" s="59"/>
      <c r="D9" s="59"/>
      <c r="E9" s="59"/>
      <c r="F9" s="59"/>
      <c r="G9" s="59"/>
      <c r="H9" s="59"/>
    </row>
    <row r="10" spans="1:8" x14ac:dyDescent="0.25">
      <c r="A10" s="59"/>
      <c r="B10" s="59"/>
      <c r="C10" s="59"/>
      <c r="D10" s="59"/>
      <c r="E10" s="59"/>
      <c r="F10" s="59"/>
      <c r="G10" s="59"/>
      <c r="H10" s="59"/>
    </row>
    <row r="11" spans="1:8" x14ac:dyDescent="0.25">
      <c r="A11" s="59"/>
      <c r="B11" s="59"/>
      <c r="C11" s="59"/>
      <c r="D11" s="59"/>
      <c r="E11" s="59"/>
      <c r="F11" s="59"/>
      <c r="G11" s="59"/>
      <c r="H11" s="59"/>
    </row>
    <row r="12" spans="1:8" x14ac:dyDescent="0.25">
      <c r="A12" s="59"/>
      <c r="B12" s="59"/>
      <c r="C12" s="59"/>
      <c r="D12" s="59"/>
      <c r="E12" s="59"/>
      <c r="F12" s="59"/>
      <c r="G12" s="59"/>
      <c r="H12" s="59"/>
    </row>
    <row r="13" spans="1:8" x14ac:dyDescent="0.25">
      <c r="A13" s="59"/>
      <c r="B13" s="59"/>
      <c r="C13" s="59"/>
      <c r="D13" s="59"/>
      <c r="E13" s="59"/>
      <c r="F13" s="59"/>
      <c r="G13" s="59"/>
      <c r="H13" s="59"/>
    </row>
    <row r="14" spans="1:8" x14ac:dyDescent="0.25">
      <c r="A14" s="59"/>
      <c r="B14" s="59"/>
      <c r="C14" s="59"/>
      <c r="D14" s="59"/>
      <c r="E14" s="59"/>
      <c r="F14" s="59"/>
      <c r="G14" s="59"/>
      <c r="H14" s="59"/>
    </row>
    <row r="15" spans="1:8" x14ac:dyDescent="0.25">
      <c r="A15" s="59"/>
      <c r="B15" s="59"/>
      <c r="C15" s="59"/>
      <c r="D15" s="59"/>
      <c r="E15" s="59"/>
      <c r="F15" s="59"/>
      <c r="G15" s="59"/>
      <c r="H15" s="59"/>
    </row>
    <row r="16" spans="1:8" x14ac:dyDescent="0.25">
      <c r="A16" s="59"/>
      <c r="B16" s="59"/>
      <c r="C16" s="59"/>
      <c r="D16" s="59"/>
      <c r="E16" s="59"/>
      <c r="F16" s="59"/>
      <c r="G16" s="59"/>
      <c r="H16" s="59"/>
    </row>
    <row r="17" spans="1:8" x14ac:dyDescent="0.25">
      <c r="A17" s="59"/>
      <c r="B17" s="59"/>
      <c r="C17" s="59"/>
      <c r="D17" s="59"/>
      <c r="E17" s="59"/>
      <c r="F17" s="59"/>
      <c r="G17" s="59"/>
      <c r="H17" s="59"/>
    </row>
    <row r="18" spans="1:8" x14ac:dyDescent="0.25">
      <c r="A18" s="59"/>
      <c r="B18" s="59"/>
      <c r="C18" s="59"/>
      <c r="D18" s="59"/>
      <c r="E18" s="59"/>
      <c r="F18" s="59"/>
      <c r="G18" s="59"/>
      <c r="H18" s="59"/>
    </row>
    <row r="19" spans="1:8" x14ac:dyDescent="0.25">
      <c r="A19" s="59"/>
      <c r="B19" s="59"/>
      <c r="C19" s="59"/>
      <c r="D19" s="59"/>
      <c r="E19" s="59"/>
      <c r="F19" s="59"/>
      <c r="G19" s="59"/>
      <c r="H19" s="59"/>
    </row>
    <row r="20" spans="1:8" x14ac:dyDescent="0.25">
      <c r="A20" s="59"/>
      <c r="B20" s="59"/>
      <c r="C20" s="59"/>
      <c r="D20" s="59"/>
      <c r="E20" s="59"/>
      <c r="F20" s="59"/>
      <c r="G20" s="59"/>
      <c r="H20" s="59"/>
    </row>
    <row r="21" spans="1:8" x14ac:dyDescent="0.25">
      <c r="A21" s="59"/>
      <c r="B21" s="59"/>
      <c r="C21" s="59"/>
      <c r="D21" s="59"/>
      <c r="E21" s="59"/>
      <c r="F21" s="59"/>
      <c r="G21" s="59"/>
      <c r="H21" s="59"/>
    </row>
    <row r="22" spans="1:8" x14ac:dyDescent="0.25">
      <c r="A22" s="59"/>
      <c r="B22" s="59"/>
      <c r="C22" s="59"/>
      <c r="D22" s="59"/>
      <c r="E22" s="59"/>
      <c r="F22" s="59"/>
      <c r="G22" s="59"/>
      <c r="H22" s="59"/>
    </row>
    <row r="23" spans="1:8" x14ac:dyDescent="0.25">
      <c r="A23" s="59"/>
      <c r="B23" s="59"/>
      <c r="C23" s="59"/>
      <c r="D23" s="59"/>
      <c r="E23" s="59"/>
      <c r="F23" s="59"/>
      <c r="G23" s="59"/>
      <c r="H23" s="59"/>
    </row>
    <row r="24" spans="1:8" x14ac:dyDescent="0.25">
      <c r="A24" s="59"/>
      <c r="B24" s="59"/>
      <c r="C24" s="59"/>
      <c r="D24" s="59"/>
      <c r="E24" s="59"/>
      <c r="F24" s="59"/>
      <c r="G24" s="59"/>
      <c r="H24" s="59"/>
    </row>
    <row r="25" spans="1:8" x14ac:dyDescent="0.25">
      <c r="A25" s="59"/>
      <c r="B25" s="59"/>
      <c r="C25" s="59"/>
      <c r="D25" s="59"/>
      <c r="E25" s="59"/>
      <c r="F25" s="59"/>
      <c r="G25" s="59"/>
      <c r="H25" s="59"/>
    </row>
    <row r="26" spans="1:8" x14ac:dyDescent="0.25">
      <c r="A26" s="59"/>
      <c r="B26" s="59"/>
      <c r="C26" s="59"/>
      <c r="D26" s="59"/>
      <c r="E26" s="59"/>
      <c r="F26" s="59"/>
      <c r="G26" s="59"/>
      <c r="H26" s="59"/>
    </row>
    <row r="27" spans="1:8" x14ac:dyDescent="0.25">
      <c r="A27" s="59"/>
      <c r="B27" s="59"/>
      <c r="C27" s="59"/>
      <c r="D27" s="59"/>
      <c r="E27" s="59"/>
      <c r="F27" s="59"/>
      <c r="G27" s="59"/>
      <c r="H27" s="59"/>
    </row>
    <row r="28" spans="1:8" x14ac:dyDescent="0.25">
      <c r="A28" s="59"/>
      <c r="B28" s="59"/>
      <c r="C28" s="59"/>
      <c r="D28" s="59"/>
      <c r="E28" s="59"/>
      <c r="F28" s="59"/>
      <c r="G28" s="59"/>
      <c r="H28" s="59"/>
    </row>
    <row r="29" spans="1:8" x14ac:dyDescent="0.25">
      <c r="A29" s="59"/>
      <c r="B29" s="59"/>
      <c r="C29" s="59"/>
      <c r="D29" s="59"/>
      <c r="E29" s="59"/>
      <c r="F29" s="59"/>
      <c r="G29" s="59"/>
      <c r="H29" s="59"/>
    </row>
    <row r="30" spans="1:8" x14ac:dyDescent="0.25">
      <c r="A30" s="59"/>
      <c r="B30" s="59"/>
      <c r="C30" s="59"/>
      <c r="D30" s="59"/>
      <c r="E30" s="59"/>
      <c r="F30" s="59"/>
      <c r="G30" s="59"/>
      <c r="H30" s="59"/>
    </row>
  </sheetData>
  <sheetProtection sheet="1" objects="1" scenarios="1"/>
  <mergeCells count="1">
    <mergeCell ref="A1:H3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57B55-8F13-4541-9C34-A6F508600DF7}">
  <dimension ref="A1:G20"/>
  <sheetViews>
    <sheetView workbookViewId="0">
      <selection activeCell="D9" sqref="D9"/>
    </sheetView>
  </sheetViews>
  <sheetFormatPr defaultRowHeight="15" x14ac:dyDescent="0.25"/>
  <cols>
    <col min="1" max="2" width="18.7109375" customWidth="1"/>
    <col min="5" max="5" width="18.7109375" customWidth="1"/>
  </cols>
  <sheetData>
    <row r="1" spans="1:7" x14ac:dyDescent="0.25">
      <c r="A1" t="s">
        <v>83</v>
      </c>
    </row>
    <row r="3" spans="1:7" x14ac:dyDescent="0.25">
      <c r="A3" s="1" t="s">
        <v>84</v>
      </c>
      <c r="B3" s="1" t="s">
        <v>85</v>
      </c>
      <c r="C3" s="2" t="s">
        <v>86</v>
      </c>
      <c r="D3" s="2" t="s">
        <v>87</v>
      </c>
      <c r="E3" s="1" t="s">
        <v>88</v>
      </c>
      <c r="F3" s="2" t="s">
        <v>89</v>
      </c>
      <c r="G3" s="2" t="s">
        <v>87</v>
      </c>
    </row>
    <row r="4" spans="1:7" x14ac:dyDescent="0.25">
      <c r="A4" s="3" t="s">
        <v>90</v>
      </c>
      <c r="B4" s="3" t="s">
        <v>112</v>
      </c>
      <c r="C4" s="4">
        <v>1.25</v>
      </c>
      <c r="D4" s="4">
        <f>+C4/1.135</f>
        <v>1.1013215859030836</v>
      </c>
      <c r="E4" s="3" t="s">
        <v>80</v>
      </c>
      <c r="F4" s="4">
        <v>1.29</v>
      </c>
      <c r="G4" s="4">
        <f>+F4/1.135</f>
        <v>1.1365638766519823</v>
      </c>
    </row>
    <row r="5" spans="1:7" x14ac:dyDescent="0.25">
      <c r="A5" s="3" t="s">
        <v>91</v>
      </c>
      <c r="B5" s="3" t="s">
        <v>74</v>
      </c>
      <c r="C5" s="4">
        <v>1.35</v>
      </c>
      <c r="D5" s="4">
        <f t="shared" ref="D5:D20" si="0">+C5/1.135</f>
        <v>1.1894273127753305</v>
      </c>
      <c r="E5" s="3" t="s">
        <v>112</v>
      </c>
      <c r="F5" s="4">
        <v>1.36</v>
      </c>
      <c r="G5" s="4">
        <f t="shared" ref="G5:G20" si="1">+F5/1.135</f>
        <v>1.1982378854625551</v>
      </c>
    </row>
    <row r="6" spans="1:7" x14ac:dyDescent="0.25">
      <c r="A6" s="3" t="s">
        <v>92</v>
      </c>
      <c r="B6" s="3" t="s">
        <v>93</v>
      </c>
      <c r="C6" s="4">
        <v>1.32</v>
      </c>
      <c r="D6" s="4">
        <f t="shared" si="0"/>
        <v>1.1629955947136565</v>
      </c>
      <c r="E6" s="3" t="s">
        <v>94</v>
      </c>
      <c r="F6" s="4">
        <v>1.4</v>
      </c>
      <c r="G6" s="4">
        <f t="shared" si="1"/>
        <v>1.2334801762114536</v>
      </c>
    </row>
    <row r="7" spans="1:7" x14ac:dyDescent="0.25">
      <c r="A7" s="3" t="s">
        <v>95</v>
      </c>
      <c r="B7" s="3" t="s">
        <v>96</v>
      </c>
      <c r="C7" s="4">
        <v>1.33</v>
      </c>
      <c r="D7" s="4">
        <f t="shared" si="0"/>
        <v>1.1718061674008811</v>
      </c>
      <c r="E7" s="3" t="s">
        <v>93</v>
      </c>
      <c r="F7" s="4">
        <v>1.4</v>
      </c>
      <c r="G7" s="4">
        <f t="shared" si="1"/>
        <v>1.2334801762114536</v>
      </c>
    </row>
    <row r="8" spans="1:7" x14ac:dyDescent="0.25">
      <c r="A8" s="3" t="s">
        <v>97</v>
      </c>
      <c r="B8" s="3" t="s">
        <v>96</v>
      </c>
      <c r="C8" s="4">
        <v>1.33</v>
      </c>
      <c r="D8" s="4">
        <f t="shared" si="0"/>
        <v>1.1718061674008811</v>
      </c>
      <c r="E8" s="3" t="s">
        <v>74</v>
      </c>
      <c r="F8" s="4">
        <v>1.39</v>
      </c>
      <c r="G8" s="4">
        <f t="shared" si="1"/>
        <v>1.224669603524229</v>
      </c>
    </row>
    <row r="9" spans="1:7" x14ac:dyDescent="0.25">
      <c r="A9" s="3" t="s">
        <v>98</v>
      </c>
      <c r="B9" s="3" t="s">
        <v>74</v>
      </c>
      <c r="C9" s="4">
        <v>1.45</v>
      </c>
      <c r="D9" s="4">
        <f t="shared" si="0"/>
        <v>1.277533039647577</v>
      </c>
      <c r="E9" s="3" t="s">
        <v>80</v>
      </c>
      <c r="F9" s="4">
        <v>1.56</v>
      </c>
      <c r="G9" s="4">
        <f t="shared" si="1"/>
        <v>1.3744493392070485</v>
      </c>
    </row>
    <row r="10" spans="1:7" x14ac:dyDescent="0.25">
      <c r="A10" s="3" t="s">
        <v>99</v>
      </c>
      <c r="B10" s="3" t="s">
        <v>93</v>
      </c>
      <c r="C10" s="4">
        <v>1.38</v>
      </c>
      <c r="D10" s="4">
        <f t="shared" si="0"/>
        <v>1.2158590308370043</v>
      </c>
      <c r="E10" s="3" t="s">
        <v>112</v>
      </c>
      <c r="F10" s="4">
        <v>1.46</v>
      </c>
      <c r="G10" s="4">
        <f t="shared" si="1"/>
        <v>1.2863436123348018</v>
      </c>
    </row>
    <row r="11" spans="1:7" x14ac:dyDescent="0.25">
      <c r="A11" s="3" t="s">
        <v>100</v>
      </c>
      <c r="B11" s="3" t="s">
        <v>101</v>
      </c>
      <c r="C11" s="4">
        <v>1.32</v>
      </c>
      <c r="D11" s="4">
        <f t="shared" si="0"/>
        <v>1.1629955947136565</v>
      </c>
      <c r="E11" s="3" t="s">
        <v>74</v>
      </c>
      <c r="F11" s="4">
        <v>1.41</v>
      </c>
      <c r="G11" s="4">
        <f t="shared" si="1"/>
        <v>1.2422907488986783</v>
      </c>
    </row>
    <row r="12" spans="1:7" x14ac:dyDescent="0.25">
      <c r="A12" s="3" t="s">
        <v>102</v>
      </c>
      <c r="B12" s="3" t="s">
        <v>112</v>
      </c>
      <c r="C12" s="4">
        <v>1.36</v>
      </c>
      <c r="D12" s="4">
        <f t="shared" si="0"/>
        <v>1.1982378854625551</v>
      </c>
      <c r="E12" s="3" t="s">
        <v>80</v>
      </c>
      <c r="F12" s="4">
        <v>1.39</v>
      </c>
      <c r="G12" s="4">
        <f t="shared" si="1"/>
        <v>1.224669603524229</v>
      </c>
    </row>
    <row r="13" spans="1:7" x14ac:dyDescent="0.25">
      <c r="A13" s="3" t="s">
        <v>82</v>
      </c>
      <c r="B13" s="3" t="s">
        <v>74</v>
      </c>
      <c r="C13" s="4">
        <v>1.32</v>
      </c>
      <c r="D13" s="4">
        <f t="shared" si="0"/>
        <v>1.1629955947136565</v>
      </c>
      <c r="E13" s="3" t="s">
        <v>80</v>
      </c>
      <c r="F13" s="4">
        <v>1.33</v>
      </c>
      <c r="G13" s="4">
        <f t="shared" si="1"/>
        <v>1.1718061674008811</v>
      </c>
    </row>
    <row r="14" spans="1:7" x14ac:dyDescent="0.25">
      <c r="A14" s="3" t="s">
        <v>103</v>
      </c>
      <c r="B14" s="3" t="s">
        <v>104</v>
      </c>
      <c r="C14" s="4">
        <v>1.38</v>
      </c>
      <c r="D14" s="4">
        <f t="shared" si="0"/>
        <v>1.2158590308370043</v>
      </c>
      <c r="E14" s="3" t="s">
        <v>93</v>
      </c>
      <c r="F14" s="4">
        <v>1.4</v>
      </c>
      <c r="G14" s="4">
        <f t="shared" si="1"/>
        <v>1.2334801762114536</v>
      </c>
    </row>
    <row r="15" spans="1:7" x14ac:dyDescent="0.25">
      <c r="A15" s="3" t="s">
        <v>105</v>
      </c>
      <c r="B15" s="3" t="s">
        <v>94</v>
      </c>
      <c r="C15" s="4">
        <v>1.3</v>
      </c>
      <c r="D15" s="4">
        <f t="shared" si="0"/>
        <v>1.1453744493392071</v>
      </c>
      <c r="E15" s="3" t="s">
        <v>74</v>
      </c>
      <c r="F15" s="4">
        <v>1.32</v>
      </c>
      <c r="G15" s="4">
        <f t="shared" si="1"/>
        <v>1.1629955947136565</v>
      </c>
    </row>
    <row r="16" spans="1:7" x14ac:dyDescent="0.25">
      <c r="A16" s="3" t="s">
        <v>106</v>
      </c>
      <c r="B16" s="3" t="s">
        <v>80</v>
      </c>
      <c r="C16" s="4">
        <v>1.52</v>
      </c>
      <c r="D16" s="4">
        <f t="shared" si="0"/>
        <v>1.3392070484581498</v>
      </c>
      <c r="E16" s="3" t="s">
        <v>107</v>
      </c>
      <c r="F16" s="4">
        <v>1.58</v>
      </c>
      <c r="G16" s="4">
        <f t="shared" si="1"/>
        <v>1.392070484581498</v>
      </c>
    </row>
    <row r="17" spans="1:7" x14ac:dyDescent="0.25">
      <c r="A17" s="3" t="s">
        <v>108</v>
      </c>
      <c r="B17" s="3" t="s">
        <v>74</v>
      </c>
      <c r="C17" s="4">
        <v>1.33</v>
      </c>
      <c r="D17" s="4">
        <f t="shared" si="0"/>
        <v>1.1718061674008811</v>
      </c>
      <c r="E17" s="3" t="s">
        <v>96</v>
      </c>
      <c r="F17" s="4">
        <v>1.33</v>
      </c>
      <c r="G17" s="4">
        <f t="shared" si="1"/>
        <v>1.1718061674008811</v>
      </c>
    </row>
    <row r="18" spans="1:7" x14ac:dyDescent="0.25">
      <c r="A18" s="3" t="s">
        <v>109</v>
      </c>
      <c r="B18" s="3" t="s">
        <v>74</v>
      </c>
      <c r="C18" s="4">
        <v>1.37</v>
      </c>
      <c r="D18" s="4">
        <f t="shared" si="0"/>
        <v>1.2070484581497798</v>
      </c>
      <c r="E18" s="3" t="s">
        <v>94</v>
      </c>
      <c r="F18" s="4">
        <v>1.4</v>
      </c>
      <c r="G18" s="4">
        <f t="shared" si="1"/>
        <v>1.2334801762114536</v>
      </c>
    </row>
    <row r="19" spans="1:7" x14ac:dyDescent="0.25">
      <c r="A19" s="3" t="s">
        <v>110</v>
      </c>
      <c r="B19" s="3" t="s">
        <v>74</v>
      </c>
      <c r="C19" s="4">
        <v>1.39</v>
      </c>
      <c r="D19" s="4">
        <f t="shared" si="0"/>
        <v>1.224669603524229</v>
      </c>
      <c r="E19" s="3" t="s">
        <v>94</v>
      </c>
      <c r="F19" s="4">
        <v>1.42</v>
      </c>
      <c r="G19" s="4">
        <f t="shared" si="1"/>
        <v>1.251101321585903</v>
      </c>
    </row>
    <row r="20" spans="1:7" x14ac:dyDescent="0.25">
      <c r="A20" s="3" t="s">
        <v>111</v>
      </c>
      <c r="B20" s="3" t="s">
        <v>112</v>
      </c>
      <c r="C20" s="4">
        <v>1.4</v>
      </c>
      <c r="D20" s="4">
        <f t="shared" si="0"/>
        <v>1.2334801762114536</v>
      </c>
      <c r="E20" s="3" t="s">
        <v>74</v>
      </c>
      <c r="F20" s="4">
        <v>1.45</v>
      </c>
      <c r="G20" s="4">
        <f t="shared" si="1"/>
        <v>1.277533039647577</v>
      </c>
    </row>
  </sheetData>
  <sheetProtection sheet="1" objects="1" scenarios="1" autoFilter="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16A25-23B2-46AC-9F68-99701940E206}">
  <dimension ref="A1:H26"/>
  <sheetViews>
    <sheetView workbookViewId="0">
      <selection activeCell="B2" sqref="B2"/>
    </sheetView>
  </sheetViews>
  <sheetFormatPr defaultRowHeight="15" x14ac:dyDescent="0.25"/>
  <cols>
    <col min="1" max="1" width="42" customWidth="1"/>
    <col min="7" max="8" width="34.5703125" bestFit="1" customWidth="1"/>
  </cols>
  <sheetData>
    <row r="1" spans="1:8" x14ac:dyDescent="0.25">
      <c r="A1" s="1" t="s">
        <v>0</v>
      </c>
      <c r="B1" s="12" t="s">
        <v>146</v>
      </c>
      <c r="D1" s="13" t="s">
        <v>74</v>
      </c>
    </row>
    <row r="2" spans="1:8" x14ac:dyDescent="0.25">
      <c r="A2" s="6" t="s">
        <v>113</v>
      </c>
      <c r="B2" s="7" t="s">
        <v>70</v>
      </c>
      <c r="D2" s="7" t="s">
        <v>70</v>
      </c>
    </row>
    <row r="3" spans="1:8" x14ac:dyDescent="0.25">
      <c r="A3" s="1" t="s">
        <v>1</v>
      </c>
    </row>
    <row r="4" spans="1:8" x14ac:dyDescent="0.25">
      <c r="A4" s="1" t="s">
        <v>2</v>
      </c>
    </row>
    <row r="5" spans="1:8" x14ac:dyDescent="0.25">
      <c r="A5" t="s">
        <v>123</v>
      </c>
      <c r="B5" s="8">
        <v>1.17</v>
      </c>
      <c r="C5" s="8"/>
      <c r="D5" s="8">
        <v>1.1599999999999999</v>
      </c>
      <c r="E5" s="8"/>
    </row>
    <row r="6" spans="1:8" x14ac:dyDescent="0.25">
      <c r="A6" t="s">
        <v>124</v>
      </c>
      <c r="B6" s="8">
        <v>1.5</v>
      </c>
      <c r="C6" s="8"/>
      <c r="D6" s="8">
        <v>1.5</v>
      </c>
      <c r="E6" s="8"/>
    </row>
    <row r="7" spans="1:8" x14ac:dyDescent="0.25">
      <c r="A7" t="s">
        <v>3</v>
      </c>
      <c r="B7" s="8">
        <v>4.28</v>
      </c>
      <c r="C7" s="8"/>
      <c r="D7" s="8">
        <v>4.26</v>
      </c>
      <c r="E7" s="8"/>
    </row>
    <row r="8" spans="1:8" x14ac:dyDescent="0.25">
      <c r="A8" t="s">
        <v>120</v>
      </c>
      <c r="B8" s="8">
        <v>34.159999999999997</v>
      </c>
      <c r="C8" s="8"/>
      <c r="D8" s="8">
        <v>34.04</v>
      </c>
      <c r="E8" s="8"/>
    </row>
    <row r="9" spans="1:8" x14ac:dyDescent="0.25">
      <c r="A9" t="s">
        <v>121</v>
      </c>
      <c r="B9" s="8">
        <v>11.4</v>
      </c>
      <c r="C9" s="8"/>
      <c r="D9" s="8">
        <v>11.4</v>
      </c>
      <c r="E9" s="8"/>
    </row>
    <row r="10" spans="1:8" x14ac:dyDescent="0.25">
      <c r="A10" t="s">
        <v>122</v>
      </c>
      <c r="B10" s="8">
        <v>21.85</v>
      </c>
      <c r="C10" s="8"/>
      <c r="D10" s="8">
        <v>21.78</v>
      </c>
      <c r="E10" s="8"/>
    </row>
    <row r="11" spans="1:8" x14ac:dyDescent="0.25">
      <c r="A11" s="1" t="s">
        <v>4</v>
      </c>
      <c r="B11" s="8"/>
      <c r="C11" s="8"/>
      <c r="D11" s="8"/>
      <c r="E11" s="8"/>
      <c r="G11" s="1" t="s">
        <v>160</v>
      </c>
      <c r="H11" s="1" t="s">
        <v>161</v>
      </c>
    </row>
    <row r="12" spans="1:8" x14ac:dyDescent="0.25">
      <c r="A12" t="s">
        <v>149</v>
      </c>
      <c r="B12" s="8">
        <v>125</v>
      </c>
      <c r="C12" s="8"/>
      <c r="D12" s="8">
        <v>99</v>
      </c>
      <c r="E12" s="8"/>
      <c r="G12" t="str">
        <f>$A12&amp;" – "&amp;TEXT($B12,"0,00")&amp;" € avausmaksu"</f>
        <v>Avaus 1 EV – 125,00 € avausmaksu</v>
      </c>
      <c r="H12" t="str">
        <f>$A12&amp;" – "&amp;TEXT($D12,"0,00")&amp;" € avausmaksu"</f>
        <v>Avaus 1 EV – 99,00 € avausmaksu</v>
      </c>
    </row>
    <row r="13" spans="1:8" x14ac:dyDescent="0.25">
      <c r="A13" t="s">
        <v>150</v>
      </c>
      <c r="B13" s="8">
        <v>200</v>
      </c>
      <c r="C13" s="8"/>
      <c r="D13" s="8">
        <v>199</v>
      </c>
      <c r="E13" s="8"/>
      <c r="G13" t="str">
        <f t="shared" ref="G13:G17" si="0">$A13&amp;" – "&amp;TEXT($B13,"0,00")&amp;" € avausmaksu"</f>
        <v>Avaus 2 EV – 200,00 € avausmaksu</v>
      </c>
      <c r="H13" t="str">
        <f t="shared" ref="H13:H17" si="1">$A13&amp;" – "&amp;TEXT($D13,"0,00")&amp;" € avausmaksu"</f>
        <v>Avaus 2 EV – 199,00 € avausmaksu</v>
      </c>
    </row>
    <row r="14" spans="1:8" x14ac:dyDescent="0.25">
      <c r="A14" t="s">
        <v>151</v>
      </c>
      <c r="B14" s="8">
        <v>250</v>
      </c>
      <c r="C14" s="8"/>
      <c r="D14" s="8">
        <v>0</v>
      </c>
      <c r="E14" s="8"/>
      <c r="G14" t="str">
        <f t="shared" si="0"/>
        <v>Avaus 3 EV – 250,00 € avausmaksu</v>
      </c>
      <c r="H14" t="str">
        <f t="shared" si="1"/>
        <v>Avaus 3 EV – 0,00 € avausmaksu</v>
      </c>
    </row>
    <row r="15" spans="1:8" x14ac:dyDescent="0.25">
      <c r="A15" t="s">
        <v>152</v>
      </c>
      <c r="B15" s="8">
        <v>250</v>
      </c>
      <c r="C15" s="8"/>
      <c r="D15" s="8">
        <v>99</v>
      </c>
      <c r="E15" s="8"/>
      <c r="G15" t="str">
        <f t="shared" si="0"/>
        <v>Avaus 1 – 250,00 € avausmaksu</v>
      </c>
      <c r="H15" t="str">
        <f t="shared" si="1"/>
        <v>Avaus 1 – 99,00 € avausmaksu</v>
      </c>
    </row>
    <row r="16" spans="1:8" x14ac:dyDescent="0.25">
      <c r="A16" t="s">
        <v>153</v>
      </c>
      <c r="B16" s="8">
        <v>400</v>
      </c>
      <c r="C16" s="8"/>
      <c r="D16" s="8">
        <v>149</v>
      </c>
      <c r="E16" s="8"/>
      <c r="G16" t="str">
        <f t="shared" si="0"/>
        <v>Avaus 2 – 400,00 € avausmaksu</v>
      </c>
      <c r="H16" t="str">
        <f t="shared" si="1"/>
        <v>Avaus 2 – 149,00 € avausmaksu</v>
      </c>
    </row>
    <row r="17" spans="1:8" x14ac:dyDescent="0.25">
      <c r="A17" t="s">
        <v>154</v>
      </c>
      <c r="B17" s="8">
        <v>500</v>
      </c>
      <c r="C17" s="8"/>
      <c r="D17" s="8">
        <v>299</v>
      </c>
      <c r="E17" s="8"/>
      <c r="G17" t="str">
        <f t="shared" si="0"/>
        <v>Avaus 3 – 500,00 € avausmaksu</v>
      </c>
      <c r="H17" t="str">
        <f t="shared" si="1"/>
        <v>Avaus 3 – 299,00 € avausmaksu</v>
      </c>
    </row>
    <row r="18" spans="1:8" x14ac:dyDescent="0.25">
      <c r="A18" t="s">
        <v>5</v>
      </c>
      <c r="B18" s="8">
        <v>423</v>
      </c>
      <c r="C18" s="8"/>
      <c r="D18" s="8">
        <v>0</v>
      </c>
      <c r="E18" s="8"/>
    </row>
    <row r="19" spans="1:8" x14ac:dyDescent="0.25">
      <c r="A19" s="1" t="s">
        <v>6</v>
      </c>
      <c r="B19" s="8"/>
      <c r="C19" s="8"/>
      <c r="D19" s="8"/>
      <c r="E19" s="8"/>
    </row>
    <row r="20" spans="1:8" x14ac:dyDescent="0.25">
      <c r="A20" t="s">
        <v>7</v>
      </c>
      <c r="B20" s="8">
        <v>8.9</v>
      </c>
      <c r="C20" s="8"/>
      <c r="D20" s="8">
        <v>0</v>
      </c>
      <c r="E20" s="8"/>
    </row>
    <row r="21" spans="1:8" x14ac:dyDescent="0.25">
      <c r="A21" t="s">
        <v>8</v>
      </c>
      <c r="B21" s="8">
        <v>8.9</v>
      </c>
      <c r="C21" s="8"/>
      <c r="D21" s="8">
        <v>0</v>
      </c>
      <c r="E21" s="8"/>
      <c r="G21" s="1" t="s">
        <v>162</v>
      </c>
      <c r="H21" s="1" t="s">
        <v>163</v>
      </c>
    </row>
    <row r="22" spans="1:8" x14ac:dyDescent="0.25">
      <c r="A22" t="s">
        <v>9</v>
      </c>
      <c r="B22" s="8">
        <v>39</v>
      </c>
      <c r="C22" s="8">
        <v>8.25</v>
      </c>
      <c r="D22" s="8">
        <v>69.95</v>
      </c>
      <c r="E22" s="8">
        <v>5.7</v>
      </c>
      <c r="G22" t="str">
        <f>$A22&amp;" – "&amp;TEXT($B22,"0,00")&amp;" €/kk + "&amp;TEXT($C22,"0,00")&amp;" % provisio"</f>
        <v>Välitys 1 – 39,00 €/kk + 8,25 % provisio</v>
      </c>
      <c r="H22" t="str">
        <f>$A22&amp;" – "&amp;TEXT($D22,"0,00")&amp;" €/kk + "&amp;TEXT($E22,"0,00")&amp;" % provisio"</f>
        <v>Välitys 1 – 69,95 €/kk + 5,70 % provisio</v>
      </c>
    </row>
    <row r="23" spans="1:8" x14ac:dyDescent="0.25">
      <c r="A23" t="s">
        <v>10</v>
      </c>
      <c r="B23" s="8">
        <v>69</v>
      </c>
      <c r="C23" s="8">
        <v>6.25</v>
      </c>
      <c r="D23" s="8">
        <v>69.95</v>
      </c>
      <c r="E23" s="8">
        <v>5.7</v>
      </c>
      <c r="G23" t="str">
        <f t="shared" ref="G23:G26" si="2">$A23&amp;" – "&amp;TEXT($B23,"0,00")&amp;" €/kk + "&amp;TEXT($C23,"0,00")&amp;" % provisio"</f>
        <v>Välitys 2 – 69,00 €/kk + 6,25 % provisio</v>
      </c>
      <c r="H23" t="str">
        <f t="shared" ref="H23:H26" si="3">$A23&amp;" – "&amp;TEXT($D23,"0,00")&amp;" €/kk + "&amp;TEXT($E23,"0,00")&amp;" % provisio"</f>
        <v>Välitys 2 – 69,95 €/kk + 5,70 % provisio</v>
      </c>
    </row>
    <row r="24" spans="1:8" x14ac:dyDescent="0.25">
      <c r="A24" t="s">
        <v>11</v>
      </c>
      <c r="B24" s="8">
        <v>99</v>
      </c>
      <c r="C24" s="8">
        <v>4.1500000000000004</v>
      </c>
      <c r="D24" s="8">
        <v>69.95</v>
      </c>
      <c r="E24" s="8">
        <v>5.7</v>
      </c>
      <c r="G24" t="str">
        <f t="shared" si="2"/>
        <v>Välitys 3 – 99,00 €/kk + 4,15 % provisio</v>
      </c>
      <c r="H24" t="str">
        <f t="shared" si="3"/>
        <v>Välitys 3 – 69,95 €/kk + 5,70 % provisio</v>
      </c>
    </row>
    <row r="25" spans="1:8" x14ac:dyDescent="0.25">
      <c r="A25" t="s">
        <v>12</v>
      </c>
      <c r="B25" s="8">
        <v>0</v>
      </c>
      <c r="C25" s="8">
        <v>15</v>
      </c>
      <c r="D25" s="8">
        <v>9.9499999999999993</v>
      </c>
      <c r="E25" s="8">
        <v>9.99</v>
      </c>
      <c r="G25" t="str">
        <f t="shared" si="2"/>
        <v>Välitys 4 – 0,00 €/kk + 15,00 % provisio</v>
      </c>
      <c r="H25" t="str">
        <f t="shared" si="3"/>
        <v>Välitys 4 – 9,95 €/kk + 9,99 % provisio</v>
      </c>
    </row>
    <row r="26" spans="1:8" x14ac:dyDescent="0.25">
      <c r="A26" s="6" t="s">
        <v>155</v>
      </c>
      <c r="B26" s="7">
        <v>0</v>
      </c>
      <c r="C26" s="7">
        <v>6</v>
      </c>
      <c r="D26" s="7">
        <v>9.9499999999999993</v>
      </c>
      <c r="E26" s="7">
        <v>9.99</v>
      </c>
      <c r="F26" s="6"/>
      <c r="G26" t="str">
        <f t="shared" si="2"/>
        <v>Välitys 5 – 0,00 €/kk + 6,00 % provisio</v>
      </c>
      <c r="H26" t="str">
        <f t="shared" si="3"/>
        <v>Välitys 5 – 9,95 €/kk + 9,99 % provisio</v>
      </c>
    </row>
  </sheetData>
  <sheetProtection sheet="1" objects="1" scenarios="1"/>
  <dataValidations count="1">
    <dataValidation type="list" allowBlank="1" showInputMessage="1" showErrorMessage="1" errorTitle="Virheellinen arvo" error="Valitse Ei tai Kyllä." sqref="B2 D2" xr:uid="{5004C45C-0106-492F-A12D-638E11A4601E}">
      <formula1>"Ei,Kyllä"</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D1AA4-9968-4C06-A5C3-744921ABB4D3}">
  <dimension ref="A1:D18"/>
  <sheetViews>
    <sheetView workbookViewId="0">
      <selection activeCell="B4" sqref="B4"/>
    </sheetView>
  </sheetViews>
  <sheetFormatPr defaultRowHeight="15" x14ac:dyDescent="0.25"/>
  <cols>
    <col min="1" max="1" width="28.28515625" customWidth="1"/>
  </cols>
  <sheetData>
    <row r="1" spans="1:4" x14ac:dyDescent="0.25">
      <c r="A1" s="5" t="s">
        <v>13</v>
      </c>
    </row>
    <row r="2" spans="1:4" x14ac:dyDescent="0.25">
      <c r="A2" s="6" t="s">
        <v>14</v>
      </c>
      <c r="B2" s="6">
        <v>36</v>
      </c>
    </row>
    <row r="3" spans="1:4" x14ac:dyDescent="0.25">
      <c r="A3" s="6" t="s">
        <v>71</v>
      </c>
      <c r="B3" s="7">
        <v>38</v>
      </c>
    </row>
    <row r="4" spans="1:4" x14ac:dyDescent="0.25">
      <c r="A4" s="6" t="s">
        <v>72</v>
      </c>
      <c r="B4" s="7">
        <v>11.5</v>
      </c>
    </row>
    <row r="5" spans="1:4" x14ac:dyDescent="0.25">
      <c r="A5" s="6" t="s">
        <v>73</v>
      </c>
      <c r="B5" s="7">
        <v>25</v>
      </c>
    </row>
    <row r="6" spans="1:4" x14ac:dyDescent="0.25">
      <c r="A6" s="6" t="s">
        <v>15</v>
      </c>
      <c r="B6" s="9">
        <f>B3*(1+B4/100)*(1+B5/100)</f>
        <v>52.962499999999999</v>
      </c>
      <c r="C6" s="10" t="s">
        <v>16</v>
      </c>
    </row>
    <row r="7" spans="1:4" x14ac:dyDescent="0.25">
      <c r="A7" s="6" t="s">
        <v>17</v>
      </c>
      <c r="B7" s="7">
        <v>0.3</v>
      </c>
    </row>
    <row r="8" spans="1:4" x14ac:dyDescent="0.25">
      <c r="A8" s="6" t="s">
        <v>18</v>
      </c>
      <c r="B8" s="7">
        <v>30</v>
      </c>
    </row>
    <row r="9" spans="1:4" x14ac:dyDescent="0.25">
      <c r="A9" s="6" t="s">
        <v>19</v>
      </c>
      <c r="B9" s="7">
        <v>60</v>
      </c>
    </row>
    <row r="10" spans="1:4" x14ac:dyDescent="0.25">
      <c r="A10" s="6" t="s">
        <v>20</v>
      </c>
      <c r="B10" s="7">
        <v>80</v>
      </c>
    </row>
    <row r="11" spans="1:4" x14ac:dyDescent="0.25">
      <c r="A11" s="6" t="s">
        <v>147</v>
      </c>
      <c r="B11" s="14">
        <v>13.5</v>
      </c>
      <c r="C11" s="11" t="s">
        <v>148</v>
      </c>
    </row>
    <row r="12" spans="1:4" x14ac:dyDescent="0.25">
      <c r="A12" s="5" t="s">
        <v>140</v>
      </c>
      <c r="C12" s="10" t="s">
        <v>142</v>
      </c>
    </row>
    <row r="13" spans="1:4" x14ac:dyDescent="0.25">
      <c r="A13" s="5" t="s">
        <v>21</v>
      </c>
      <c r="B13" s="5" t="s">
        <v>141</v>
      </c>
    </row>
    <row r="14" spans="1:4" x14ac:dyDescent="0.25">
      <c r="A14" s="7">
        <v>0</v>
      </c>
      <c r="B14" s="7">
        <v>200</v>
      </c>
      <c r="C14" s="10" t="s">
        <v>22</v>
      </c>
      <c r="D14" s="10" t="s">
        <v>23</v>
      </c>
    </row>
    <row r="15" spans="1:4" x14ac:dyDescent="0.25">
      <c r="A15" s="7">
        <v>25</v>
      </c>
      <c r="B15" s="7">
        <v>400</v>
      </c>
      <c r="C15" s="10" t="s">
        <v>24</v>
      </c>
      <c r="D15" s="10" t="s">
        <v>25</v>
      </c>
    </row>
    <row r="16" spans="1:4" x14ac:dyDescent="0.25">
      <c r="A16" s="7">
        <v>51</v>
      </c>
      <c r="B16" s="7">
        <v>800</v>
      </c>
      <c r="C16" s="10" t="s">
        <v>26</v>
      </c>
      <c r="D16" s="10" t="s">
        <v>27</v>
      </c>
    </row>
    <row r="17" spans="1:4" x14ac:dyDescent="0.25">
      <c r="A17" s="7">
        <v>76</v>
      </c>
      <c r="B17" s="7">
        <v>1200</v>
      </c>
      <c r="C17" s="10" t="s">
        <v>28</v>
      </c>
      <c r="D17" s="10" t="s">
        <v>29</v>
      </c>
    </row>
    <row r="18" spans="1:4" x14ac:dyDescent="0.25">
      <c r="A18" s="7">
        <v>101</v>
      </c>
      <c r="B18" s="7">
        <v>1500</v>
      </c>
      <c r="C18" s="10" t="s">
        <v>30</v>
      </c>
      <c r="D18" s="10" t="s">
        <v>31</v>
      </c>
    </row>
  </sheetData>
  <sheetProtection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BC74E-C92F-4039-B253-F9F498E730C1}">
  <dimension ref="A1:F81"/>
  <sheetViews>
    <sheetView zoomScale="98" zoomScaleNormal="98" workbookViewId="0">
      <pane ySplit="3" topLeftCell="A4" activePane="bottomLeft" state="frozen"/>
      <selection pane="bottomLeft" activeCell="C44" sqref="C44"/>
    </sheetView>
  </sheetViews>
  <sheetFormatPr defaultRowHeight="15" outlineLevelRow="1" x14ac:dyDescent="0.25"/>
  <cols>
    <col min="1" max="1" width="43.85546875" style="16" customWidth="1"/>
    <col min="2" max="3" width="37.140625" style="16" customWidth="1"/>
    <col min="4" max="4" width="55.28515625" style="16" customWidth="1"/>
    <col min="5" max="8" width="9.140625" style="16"/>
    <col min="9" max="9" width="14.42578125" style="16" customWidth="1"/>
    <col min="10" max="16384" width="9.140625" style="16"/>
  </cols>
  <sheetData>
    <row r="1" spans="1:4" ht="18.75" x14ac:dyDescent="0.3">
      <c r="A1" s="15" t="s">
        <v>32</v>
      </c>
    </row>
    <row r="2" spans="1:4" x14ac:dyDescent="0.25">
      <c r="A2" s="17" t="s">
        <v>187</v>
      </c>
    </row>
    <row r="4" spans="1:4" x14ac:dyDescent="0.25">
      <c r="A4" s="18" t="s">
        <v>164</v>
      </c>
      <c r="B4" s="19" t="str">
        <f>IF(Operaattorihinnat!$B$2="Kyllä",Operaattorihinnat!$B$1,"– ei mukana –")</f>
        <v>KSMYK</v>
      </c>
      <c r="C4" s="19" t="str">
        <f>IF(Operaattorihinnat!$D$2="Kyllä",Operaattorihinnat!$D$1,"– ei mukana –")</f>
        <v>Konnektio</v>
      </c>
      <c r="D4" s="18"/>
    </row>
    <row r="5" spans="1:4" x14ac:dyDescent="0.25">
      <c r="A5" s="16" t="s">
        <v>165</v>
      </c>
      <c r="B5" s="12" t="s">
        <v>188</v>
      </c>
      <c r="C5" s="12" t="s">
        <v>158</v>
      </c>
      <c r="D5" s="20" t="s">
        <v>166</v>
      </c>
    </row>
    <row r="6" spans="1:4" x14ac:dyDescent="0.25">
      <c r="A6" s="16" t="s">
        <v>157</v>
      </c>
      <c r="B6" s="12" t="s">
        <v>159</v>
      </c>
      <c r="C6" s="12" t="s">
        <v>156</v>
      </c>
      <c r="D6" s="20" t="s">
        <v>167</v>
      </c>
    </row>
    <row r="7" spans="1:4" x14ac:dyDescent="0.25">
      <c r="A7" s="16" t="s">
        <v>40</v>
      </c>
      <c r="B7" s="12" t="s">
        <v>70</v>
      </c>
      <c r="C7" s="12" t="s">
        <v>70</v>
      </c>
      <c r="D7" s="20" t="s">
        <v>41</v>
      </c>
    </row>
    <row r="8" spans="1:4" x14ac:dyDescent="0.25">
      <c r="D8" s="20"/>
    </row>
    <row r="9" spans="1:4" x14ac:dyDescent="0.25">
      <c r="A9" s="18" t="s">
        <v>168</v>
      </c>
      <c r="B9" s="18"/>
      <c r="C9" s="18"/>
      <c r="D9" s="21"/>
    </row>
    <row r="10" spans="1:4" x14ac:dyDescent="0.25">
      <c r="A10" s="16" t="s">
        <v>125</v>
      </c>
      <c r="B10" s="22">
        <v>40</v>
      </c>
      <c r="C10" s="56"/>
      <c r="D10" s="20" t="s">
        <v>33</v>
      </c>
    </row>
    <row r="11" spans="1:4" x14ac:dyDescent="0.25">
      <c r="A11" s="16" t="s">
        <v>126</v>
      </c>
      <c r="B11" s="22">
        <v>0</v>
      </c>
      <c r="C11" s="56"/>
      <c r="D11" s="20" t="s">
        <v>127</v>
      </c>
    </row>
    <row r="12" spans="1:4" x14ac:dyDescent="0.25">
      <c r="A12" s="16" t="s">
        <v>128</v>
      </c>
      <c r="B12" s="22">
        <v>0</v>
      </c>
      <c r="C12" s="56"/>
      <c r="D12" s="20" t="s">
        <v>129</v>
      </c>
    </row>
    <row r="13" spans="1:4" x14ac:dyDescent="0.25">
      <c r="A13" s="24" t="s">
        <v>130</v>
      </c>
      <c r="B13" s="25">
        <f>SUM(B10:B12)</f>
        <v>40</v>
      </c>
      <c r="C13" s="57"/>
      <c r="D13" s="20" t="s">
        <v>131</v>
      </c>
    </row>
    <row r="14" spans="1:4" x14ac:dyDescent="0.25">
      <c r="A14" s="16" t="s">
        <v>34</v>
      </c>
      <c r="B14" s="26">
        <v>40</v>
      </c>
      <c r="C14" s="58"/>
      <c r="D14" s="20" t="s">
        <v>35</v>
      </c>
    </row>
    <row r="15" spans="1:4" x14ac:dyDescent="0.25">
      <c r="A15" s="16" t="s">
        <v>36</v>
      </c>
      <c r="B15" s="26">
        <v>2</v>
      </c>
      <c r="C15" s="58"/>
      <c r="D15" s="20" t="s">
        <v>37</v>
      </c>
    </row>
    <row r="16" spans="1:4" x14ac:dyDescent="0.25">
      <c r="A16" s="16" t="s">
        <v>38</v>
      </c>
      <c r="B16" s="27">
        <v>50</v>
      </c>
      <c r="C16" s="58"/>
      <c r="D16" s="20" t="s">
        <v>39</v>
      </c>
    </row>
    <row r="17" spans="1:4" x14ac:dyDescent="0.25">
      <c r="D17" s="20"/>
    </row>
    <row r="18" spans="1:4" x14ac:dyDescent="0.25">
      <c r="A18" s="28" t="s">
        <v>169</v>
      </c>
      <c r="B18" s="28"/>
      <c r="C18" s="28"/>
      <c r="D18" s="29"/>
    </row>
    <row r="19" spans="1:4" x14ac:dyDescent="0.25">
      <c r="A19" s="16" t="s">
        <v>42</v>
      </c>
      <c r="B19" s="23">
        <f>$B$13*(1+$B$16/100)</f>
        <v>60</v>
      </c>
      <c r="C19" s="23"/>
      <c r="D19" s="20" t="s">
        <v>43</v>
      </c>
    </row>
    <row r="20" spans="1:4" x14ac:dyDescent="0.25">
      <c r="A20" s="16" t="s">
        <v>44</v>
      </c>
      <c r="B20" s="30">
        <f>$B$13*$B$14*(1+$B$16/100)</f>
        <v>2400</v>
      </c>
      <c r="C20" s="30"/>
      <c r="D20" s="20" t="s">
        <v>45</v>
      </c>
    </row>
    <row r="21" spans="1:4" x14ac:dyDescent="0.25">
      <c r="A21" s="16" t="s">
        <v>46</v>
      </c>
      <c r="B21" s="30">
        <f>$B$13*($B$14*2+$B$15)</f>
        <v>3280</v>
      </c>
      <c r="C21" s="30"/>
      <c r="D21" s="20" t="s">
        <v>47</v>
      </c>
    </row>
    <row r="22" spans="1:4" x14ac:dyDescent="0.25">
      <c r="A22" s="16" t="s">
        <v>48</v>
      </c>
      <c r="B22" s="31">
        <f>IF($B$14&lt;=30,Oletukset!$B$8,IF($B$14&lt;=60,Oletukset!$B$9,Oletukset!$B$10))</f>
        <v>60</v>
      </c>
      <c r="C22" s="31"/>
      <c r="D22" s="20" t="s">
        <v>49</v>
      </c>
    </row>
    <row r="23" spans="1:4" x14ac:dyDescent="0.25">
      <c r="A23" s="16" t="s">
        <v>50</v>
      </c>
      <c r="B23" s="32">
        <f>$B$21/$B$22</f>
        <v>54.666666666666664</v>
      </c>
      <c r="C23" s="32"/>
      <c r="D23" s="20" t="s">
        <v>51</v>
      </c>
    </row>
    <row r="24" spans="1:4" x14ac:dyDescent="0.25">
      <c r="D24" s="20"/>
    </row>
    <row r="25" spans="1:4" x14ac:dyDescent="0.25">
      <c r="A25" s="28" t="s">
        <v>170</v>
      </c>
      <c r="B25" s="33" t="str">
        <f>$B$4</f>
        <v>KSMYK</v>
      </c>
      <c r="C25" s="33" t="str">
        <f>$C$4</f>
        <v>Konnektio</v>
      </c>
      <c r="D25" s="29"/>
    </row>
    <row r="26" spans="1:4" x14ac:dyDescent="0.25">
      <c r="A26" s="16" t="s">
        <v>52</v>
      </c>
      <c r="B26" s="34">
        <f>IF(Operaattorihinnat!$B$2="Kyllä",$B$19*Operaattorihinnat!$B$7,"")</f>
        <v>256.8</v>
      </c>
      <c r="C26" s="34">
        <f>IF(Operaattorihinnat!$D$2="Kyllä",$B$19*Operaattorihinnat!$D$7,"")</f>
        <v>255.6</v>
      </c>
      <c r="D26" s="20" t="s">
        <v>53</v>
      </c>
    </row>
    <row r="27" spans="1:4" x14ac:dyDescent="0.25">
      <c r="A27" s="16" t="s">
        <v>54</v>
      </c>
      <c r="B27" s="34">
        <f>IF(Operaattorihinnat!$B$2="Kyllä",$B$20*Operaattorihinnat!$B$5,"")</f>
        <v>2808</v>
      </c>
      <c r="C27" s="34">
        <f>IF(Operaattorihinnat!$D$2="Kyllä",$B$20*Operaattorihinnat!$D$5,"")</f>
        <v>2784</v>
      </c>
      <c r="D27" s="20" t="s">
        <v>55</v>
      </c>
    </row>
    <row r="28" spans="1:4" x14ac:dyDescent="0.25">
      <c r="A28" s="16" t="s">
        <v>132</v>
      </c>
      <c r="B28" s="34">
        <f>IF(Operaattorihinnat!$B$2="Kyllä",$B$11*(1+$B$16/100)*Operaattorihinnat!$B$9,"")</f>
        <v>0</v>
      </c>
      <c r="C28" s="34">
        <f>IF(Operaattorihinnat!$D$2="Kyllä",$B$11*(1+$B$16/100)*Operaattorihinnat!$D$9,"")</f>
        <v>0</v>
      </c>
      <c r="D28" s="20" t="s">
        <v>133</v>
      </c>
    </row>
    <row r="29" spans="1:4" x14ac:dyDescent="0.25">
      <c r="A29" s="16" t="s">
        <v>134</v>
      </c>
      <c r="B29" s="34">
        <f>IF(Operaattorihinnat!$B$2="Kyllä",$B$12*(1+$B$16/100)*Operaattorihinnat!$B$10,"")</f>
        <v>0</v>
      </c>
      <c r="C29" s="34">
        <f>IF(Operaattorihinnat!$D$2="Kyllä",$B$12*(1+$B$16/100)*Operaattorihinnat!$D$10,"")</f>
        <v>0</v>
      </c>
      <c r="D29" s="20" t="s">
        <v>135</v>
      </c>
    </row>
    <row r="30" spans="1:4" x14ac:dyDescent="0.25">
      <c r="A30" s="24" t="s">
        <v>56</v>
      </c>
      <c r="B30" s="35">
        <f>IF(Operaattorihinnat!$B$2="Kyllä",SUM(B26:B29),"")</f>
        <v>3064.8</v>
      </c>
      <c r="C30" s="35">
        <f>IF(Operaattorihinnat!$D$2="Kyllä",SUM(C26:C29),"")</f>
        <v>3039.6</v>
      </c>
      <c r="D30" s="20"/>
    </row>
    <row r="31" spans="1:4" x14ac:dyDescent="0.25">
      <c r="A31" s="16" t="s">
        <v>78</v>
      </c>
      <c r="B31" s="36">
        <f>IF(Operaattorihinnat!$B$2="Kyllä",B30/$B$21,"")</f>
        <v>0.93439024390243908</v>
      </c>
      <c r="C31" s="36">
        <f>IF(Operaattorihinnat!$D$2="Kyllä",C30/$B$21,"")</f>
        <v>0.92670731707317067</v>
      </c>
      <c r="D31" s="20" t="s">
        <v>57</v>
      </c>
    </row>
    <row r="32" spans="1:4" x14ac:dyDescent="0.25">
      <c r="A32" s="16" t="s">
        <v>76</v>
      </c>
      <c r="B32" s="37">
        <f>IF(Operaattorihinnat!$B$2="Kyllä",B30/$B$23,"")</f>
        <v>56.063414634146348</v>
      </c>
      <c r="C32" s="37">
        <f>IF(Operaattorihinnat!$D$2="Kyllä",C30/$B$23,"")</f>
        <v>55.602439024390243</v>
      </c>
      <c r="D32" s="20" t="s">
        <v>75</v>
      </c>
    </row>
    <row r="33" spans="1:4" x14ac:dyDescent="0.25">
      <c r="D33" s="20"/>
    </row>
    <row r="34" spans="1:4" x14ac:dyDescent="0.25">
      <c r="A34" s="38" t="s">
        <v>171</v>
      </c>
      <c r="B34" s="39" t="str">
        <f>$B$4</f>
        <v>KSMYK</v>
      </c>
      <c r="C34" s="39" t="str">
        <f>$C$4</f>
        <v>Konnektio</v>
      </c>
      <c r="D34" s="40"/>
    </row>
    <row r="35" spans="1:4" x14ac:dyDescent="0.25">
      <c r="A35" s="16" t="s">
        <v>58</v>
      </c>
      <c r="B35" s="34">
        <f>IF(Operaattorihinnat!$B$2="Kyllä",B30*Oletukset!$B$6/100,"")</f>
        <v>1623.1947</v>
      </c>
      <c r="C35" s="34">
        <f>IF(Operaattorihinnat!$D$2="Kyllä",C30*Oletukset!$B$6/100,"")</f>
        <v>1609.84815</v>
      </c>
      <c r="D35" s="20" t="str">
        <f>TEXT(Oletukset!$B$6,"0")&amp;" % tuotoista"</f>
        <v>53 % tuotoista</v>
      </c>
    </row>
    <row r="36" spans="1:4" x14ac:dyDescent="0.25">
      <c r="A36" s="16" t="s">
        <v>59</v>
      </c>
      <c r="B36" s="34">
        <f>IF(Operaattorihinnat!$B$2="Kyllä",$B$21*Oletukset!$B$7,"")</f>
        <v>984</v>
      </c>
      <c r="C36" s="34">
        <f>IF(Operaattorihinnat!$D$2="Kyllä",$B$21*Oletukset!$B$7,"")</f>
        <v>984</v>
      </c>
      <c r="D36" s="20" t="s">
        <v>60</v>
      </c>
    </row>
    <row r="37" spans="1:4" x14ac:dyDescent="0.25">
      <c r="A37" s="16" t="s">
        <v>61</v>
      </c>
      <c r="B37" s="34" cm="1">
        <f t="array" ref="B37">IF(Operaattorihinnat!$B$2="Kyllä",INDEX(Operaattorihinnat!$B$22:$B$26,$B$56),"")</f>
        <v>99</v>
      </c>
      <c r="C37" s="34" cm="1">
        <f t="array" ref="C37">IF(Operaattorihinnat!$D$2="Kyllä",INDEX(Operaattorihinnat!$D$22:$D$26,$C$56),"")</f>
        <v>69.95</v>
      </c>
      <c r="D37" s="20" t="s">
        <v>173</v>
      </c>
    </row>
    <row r="38" spans="1:4" x14ac:dyDescent="0.25">
      <c r="A38" s="16" t="s">
        <v>62</v>
      </c>
      <c r="B38" s="34" cm="1">
        <f t="array" ref="B38">IF(Operaattorihinnat!$B$2="Kyllä",B30*(1+Oletukset!$B$11/100)*INDEX(Operaattorihinnat!$C$22:$C$26,$B$56)/100,"")</f>
        <v>144.35974200000001</v>
      </c>
      <c r="C38" s="34" cm="1">
        <f t="array" ref="C38">IF(Operaattorihinnat!$D$2="Kyllä",C30*(1+Oletukset!$B$11/100)*INDEX(Operaattorihinnat!$E$22:$E$26,$C$56)/100,"")</f>
        <v>196.64692200000002</v>
      </c>
      <c r="D38" s="20" t="s">
        <v>174</v>
      </c>
    </row>
    <row r="39" spans="1:4" x14ac:dyDescent="0.25">
      <c r="A39" s="16" t="s">
        <v>63</v>
      </c>
      <c r="B39" s="34">
        <f>IF(Operaattorihinnat!$B$2="Kyllä",IF($B$7="Kyllä",Operaattorihinnat!$B$21,Operaattorihinnat!$B$20),"")</f>
        <v>8.9</v>
      </c>
      <c r="C39" s="34">
        <f>IF(Operaattorihinnat!$D$2="Kyllä",IF($C$7="Kyllä",Operaattorihinnat!$D$21,Operaattorihinnat!$D$20),"")</f>
        <v>0</v>
      </c>
      <c r="D39" s="20" t="s">
        <v>64</v>
      </c>
    </row>
    <row r="40" spans="1:4" x14ac:dyDescent="0.25">
      <c r="A40" s="16" t="s">
        <v>65</v>
      </c>
      <c r="B40" s="34" cm="1">
        <f t="array" ref="B40">IF(Operaattorihinnat!$B$2="Kyllä",(INDEX(Operaattorihinnat!$B$12:$B$17,$B$57)+Operaattorihinnat!$B$18)/Oletukset!$B$2,"")</f>
        <v>18.694444444444443</v>
      </c>
      <c r="C40" s="34" cm="1">
        <f t="array" ref="C40">IF(Operaattorihinnat!$D$2="Kyllä",(INDEX(Operaattorihinnat!$D$12:$D$17,$C$57)+Operaattorihinnat!$D$18)/Oletukset!$B$2,"")</f>
        <v>2.75</v>
      </c>
      <c r="D40" s="20" t="str">
        <f>"(avaus + laite) / "&amp;TEXT(Oletukset!$B$2,"0")&amp;" kk"</f>
        <v>(avaus + laite) / 36 kk</v>
      </c>
    </row>
    <row r="41" spans="1:4" x14ac:dyDescent="0.25">
      <c r="A41" s="24" t="s">
        <v>66</v>
      </c>
      <c r="B41" s="35">
        <f>IF(Operaattorihinnat!$B$2="Kyllä",SUM(B35:B40),"")</f>
        <v>2878.1488864444445</v>
      </c>
      <c r="C41" s="35">
        <f>IF(Operaattorihinnat!$D$2="Kyllä",SUM(C35:C40),"")</f>
        <v>2863.1950719999995</v>
      </c>
      <c r="D41" s="20"/>
    </row>
    <row r="42" spans="1:4" x14ac:dyDescent="0.25">
      <c r="D42" s="20"/>
    </row>
    <row r="43" spans="1:4" x14ac:dyDescent="0.25">
      <c r="A43" s="41" t="s">
        <v>172</v>
      </c>
      <c r="B43" s="42" t="str">
        <f>$B$4</f>
        <v>KSMYK</v>
      </c>
      <c r="C43" s="42" t="str">
        <f>$C$4</f>
        <v>Konnektio</v>
      </c>
      <c r="D43" s="43"/>
    </row>
    <row r="44" spans="1:4" x14ac:dyDescent="0.25">
      <c r="A44" s="24" t="s">
        <v>67</v>
      </c>
      <c r="B44" s="35">
        <f>IF(Operaattorihinnat!$B$2="Kyllä",B30-B41,"")</f>
        <v>186.65111355555564</v>
      </c>
      <c r="C44" s="35">
        <f>IF(Operaattorihinnat!$D$2="Kyllä",C30-C41,"")</f>
        <v>176.40492800000038</v>
      </c>
      <c r="D44" s="20" t="s">
        <v>77</v>
      </c>
    </row>
    <row r="45" spans="1:4" x14ac:dyDescent="0.25">
      <c r="A45" s="16" t="s">
        <v>143</v>
      </c>
      <c r="B45" s="34">
        <f>IF(Operaattorihinnat!$B$2="Kyllä",VLOOKUP($B$23,Oletukset!$A$14:$B$18,2,TRUE),"")</f>
        <v>800</v>
      </c>
      <c r="C45" s="34">
        <f>IF(Operaattorihinnat!$D$2="Kyllä",VLOOKUP($B$23,Oletukset!$A$14:$B$18,2,TRUE),"")</f>
        <v>800</v>
      </c>
      <c r="D45" s="20" t="str">
        <f>"ajoaika "&amp;TEXT($B$23,"0")&amp;" h/kk"</f>
        <v>ajoaika 55 h/kk</v>
      </c>
    </row>
    <row r="46" spans="1:4" x14ac:dyDescent="0.25">
      <c r="A46" s="16" t="s">
        <v>68</v>
      </c>
      <c r="B46" s="44">
        <f>IF(Operaattorihinnat!$B$2="Kyllä",B44-B45,"")</f>
        <v>-613.34888644444436</v>
      </c>
      <c r="C46" s="44">
        <f>IF(Operaattorihinnat!$D$2="Kyllä",C44-C45,"")</f>
        <v>-623.59507199999962</v>
      </c>
      <c r="D46" s="20"/>
    </row>
    <row r="47" spans="1:4" x14ac:dyDescent="0.25">
      <c r="A47" s="24" t="s">
        <v>69</v>
      </c>
      <c r="B47" s="45" t="str">
        <f>IF(Operaattorihinnat!$B$2="Kyllä",IF(B46&gt;=0,"Kyllä – ylittää katetavoitteen","Ei – jää alle katetavoitteen"),"")</f>
        <v>Ei – jää alle katetavoitteen</v>
      </c>
      <c r="C47" s="45" t="str">
        <f>IF(Operaattorihinnat!$D$2="Kyllä",IF(C46&gt;=0,"Kyllä – ylittää katetavoitteen","Ei – jää alle katetavoitteen"),"")</f>
        <v>Ei – jää alle katetavoitteen</v>
      </c>
      <c r="D47" s="20"/>
    </row>
    <row r="48" spans="1:4" x14ac:dyDescent="0.25">
      <c r="D48" s="20"/>
    </row>
    <row r="49" spans="1:6" x14ac:dyDescent="0.25">
      <c r="A49" s="46" t="s">
        <v>181</v>
      </c>
      <c r="B49" s="47" t="str">
        <f>$B$4</f>
        <v>KSMYK</v>
      </c>
      <c r="C49" s="47" t="str">
        <f>$C$4</f>
        <v>Konnektio</v>
      </c>
      <c r="D49" s="48"/>
    </row>
    <row r="50" spans="1:6" x14ac:dyDescent="0.25">
      <c r="A50" s="16" t="s">
        <v>79</v>
      </c>
      <c r="B50" s="36" cm="1">
        <f t="array" ref="B50">IF(Operaattorihinnat!$B$2="Kyllä",((B45+B36+B37+B39+B40)/(1-(Oletukset!$B$6+INDEX(Operaattorihinnat!$C$22:$C$26,$B$56)*(1+Oletukset!$B$11/100))/100)-B26-B28-B29)/$B$20,"")</f>
        <v>1.7737766120372067</v>
      </c>
      <c r="C50" s="36" cm="1">
        <f t="array" ref="C50">IF(Operaattorihinnat!$D$2="Kyllä",((C45+C36+C37+C39+C40)/(1-(Oletukset!$B$6+INDEX(Operaattorihinnat!$E$22:$E$26,$C$56)*(1+Oletukset!$B$11/100))/100)-C26-C28-C29)/$B$20,"")</f>
        <v>1.8004833366199962</v>
      </c>
      <c r="D50" s="20" t="s">
        <v>145</v>
      </c>
    </row>
    <row r="51" spans="1:6" x14ac:dyDescent="0.25">
      <c r="A51" s="16" t="s">
        <v>81</v>
      </c>
      <c r="B51" s="49">
        <f>IF(Operaattorihinnat!$B$2="Kyllä",IF(B58&lt;0,"Negatiivinen arvo",B58),"")</f>
        <v>23.641120141108836</v>
      </c>
      <c r="C51" s="49">
        <f>IF(Operaattorihinnat!$D$2="Kyllä",IF(C58&lt;0,"Negatiivinen arvo",C58),"")</f>
        <v>23.280218674040771</v>
      </c>
      <c r="D51" s="20" t="s">
        <v>184</v>
      </c>
    </row>
    <row r="52" spans="1:6" hidden="1" outlineLevel="1" x14ac:dyDescent="0.25">
      <c r="A52" s="16" t="s">
        <v>182</v>
      </c>
      <c r="B52" s="50" t="str">
        <f>IF(Operaattorihinnat!$B$2="Kyllä",IF(B65&gt;250,"Ei realistinen kyytimäärä",B64),"")</f>
        <v>Ei realistinen kyytimäärä</v>
      </c>
      <c r="C52" s="50" t="str">
        <f>IF(Operaattorihinnat!$D$2="Kyllä",IF(C65&gt;250,"Ei realistinen kyytimäärä",C64),"")</f>
        <v>Ei realistinen kyytimäärä</v>
      </c>
      <c r="D52" s="20" t="s">
        <v>185</v>
      </c>
    </row>
    <row r="53" spans="1:6" hidden="1" outlineLevel="1" x14ac:dyDescent="0.25">
      <c r="A53" s="16" t="s">
        <v>183</v>
      </c>
      <c r="B53" s="32" t="str">
        <f>IF(Operaattorihinnat!$B$2="Kyllä",IF(B65&gt;250,"Ei realistinen työmäärä",B65),"")</f>
        <v>Ei realistinen työmäärä</v>
      </c>
      <c r="C53" s="32" t="str">
        <f>IF(Operaattorihinnat!$D$2="Kyllä",IF(C65&gt;250,"Ei realistinen työmäärä",C65),"")</f>
        <v>Ei realistinen työmäärä</v>
      </c>
      <c r="D53" s="20" t="s">
        <v>186</v>
      </c>
    </row>
    <row r="54" spans="1:6" hidden="1" outlineLevel="1" x14ac:dyDescent="0.25"/>
    <row r="55" spans="1:6" hidden="1" outlineLevel="1" x14ac:dyDescent="0.25">
      <c r="A55" s="46" t="s">
        <v>175</v>
      </c>
      <c r="B55" s="46"/>
      <c r="C55" s="46"/>
      <c r="D55" s="46"/>
    </row>
    <row r="56" spans="1:6" hidden="1" outlineLevel="1" x14ac:dyDescent="0.25">
      <c r="A56" s="51" t="s">
        <v>176</v>
      </c>
      <c r="B56" s="52">
        <f>IFERROR(MATCH(LEFT($B$5,FIND(" – ",$B$5&amp;" – ")-1),Operaattorihinnat!$A$22:$A$26,0),1)</f>
        <v>3</v>
      </c>
      <c r="C56" s="52">
        <f>IFERROR(MATCH(LEFT($C$5,FIND(" – ",$C$5&amp;" – ")-1),Operaattorihinnat!$A$22:$A$26,0),1)</f>
        <v>1</v>
      </c>
      <c r="D56" s="51"/>
      <c r="E56" s="51"/>
      <c r="F56" s="51"/>
    </row>
    <row r="57" spans="1:6" hidden="1" outlineLevel="1" x14ac:dyDescent="0.25">
      <c r="A57" s="51" t="s">
        <v>177</v>
      </c>
      <c r="B57" s="52">
        <f>IFERROR(MATCH(LEFT($B$6,FIND(" – ",$B$6&amp;" – ")-1),Operaattorihinnat!$A$12:$A$17,0),1)</f>
        <v>4</v>
      </c>
      <c r="C57" s="52">
        <f>IFERROR(MATCH(LEFT($C$6,FIND(" – ",$C$6&amp;" – ")-1),Operaattorihinnat!$A$12:$A$17,0),1)</f>
        <v>4</v>
      </c>
      <c r="D57" s="51"/>
      <c r="E57" s="51"/>
      <c r="F57" s="51"/>
    </row>
    <row r="58" spans="1:6" hidden="1" outlineLevel="1" x14ac:dyDescent="0.25">
      <c r="A58" s="51" t="s">
        <v>178</v>
      </c>
      <c r="B58" s="53">
        <f>IF(Operaattorihinnat!$B$2="Kyllä",((B30-B45-(B36+B37+B38+B39+B40))/B30*100)/((1+Oletukset!$B$4/100)*(1+Oletukset!$B$5/100)),"")</f>
        <v>23.641120141108836</v>
      </c>
      <c r="C58" s="53">
        <f>IF(Operaattorihinnat!$D$2="Kyllä",((C30-C45-(C36+C37+C38+C39+C40))/C30*100)/((1+Oletukset!$B$4/100)*(1+Oletukset!$B$5/100)),"")</f>
        <v>23.280218674040771</v>
      </c>
      <c r="D58" s="51"/>
      <c r="E58" s="51"/>
      <c r="F58" s="51"/>
    </row>
    <row r="59" spans="1:6" hidden="1" outlineLevel="1" x14ac:dyDescent="0.25">
      <c r="A59" s="51" t="s">
        <v>136</v>
      </c>
      <c r="B59" s="54" cm="1">
        <f t="array" ref="B59">IF(Operaattorihinnat!$B$2="Kyllä",((Operaattorihinnat!$B$7+$B$14*Operaattorihinnat!$B$5)*(1+$B$16/100))*(1-(Oletukset!$B$6+INDEX(Operaattorihinnat!$C$22:$C$26,$B$56)*(1+Oletukset!$B$11/100))/100)-($B$14*2+$B$15)*Oletukset!$B$7,"")</f>
        <v>7.8311389499999997</v>
      </c>
      <c r="C59" s="54" cm="1">
        <f t="array" ref="C59">IF(Operaattorihinnat!$D$2="Kyllä",((Operaattorihinnat!$D$7+$B$14*Operaattorihinnat!$D$5)*(1+$B$16/100))*(1-(Oletukset!$B$6+INDEX(Operaattorihinnat!$E$22:$E$26,$C$56)*(1+Oletukset!$B$11/100))/100)-($B$14*2+$B$15)*Oletukset!$B$7,"")</f>
        <v>6.2276231999999965</v>
      </c>
      <c r="D59" s="51"/>
      <c r="E59" s="51"/>
      <c r="F59" s="51"/>
    </row>
    <row r="60" spans="1:6" hidden="1" outlineLevel="1" x14ac:dyDescent="0.25">
      <c r="A60" s="51" t="s">
        <v>137</v>
      </c>
      <c r="B60" s="54" cm="1">
        <f t="array" ref="B60">IF(Operaattorihinnat!$B$2="Kyllä",Operaattorihinnat!$B$9*(1+$B$16/100)*(1-(Oletukset!$B$6+INDEX(Operaattorihinnat!$C$22:$C$26,$B$56)*(1+Oletukset!$B$11/100))/100),"")</f>
        <v>7.2379597499999999</v>
      </c>
      <c r="C60" s="54" cm="1">
        <f t="array" ref="C60">IF(Operaattorihinnat!$D$2="Kyllä",Operaattorihinnat!$D$9*(1+$B$16/100)*(1-(Oletukset!$B$6+INDEX(Operaattorihinnat!$E$22:$E$26,$C$56)*(1+Oletukset!$B$11/100))/100),"")</f>
        <v>6.9371279999999995</v>
      </c>
      <c r="D60" s="51"/>
      <c r="E60" s="51"/>
      <c r="F60" s="51"/>
    </row>
    <row r="61" spans="1:6" hidden="1" outlineLevel="1" x14ac:dyDescent="0.25">
      <c r="A61" s="51" t="s">
        <v>138</v>
      </c>
      <c r="B61" s="54" cm="1">
        <f t="array" ref="B61">IF(Operaattorihinnat!$B$2="Kyllä",Operaattorihinnat!$B$10*(1+$B$16/100)*(1-(Oletukset!$B$6+INDEX(Operaattorihinnat!$C$22:$C$26,$B$56)*(1+Oletukset!$B$11/100))/100),"")</f>
        <v>13.8727561875</v>
      </c>
      <c r="C61" s="54" cm="1">
        <f t="array" ref="C61">IF(Operaattorihinnat!$D$2="Kyllä",Operaattorihinnat!$D$10*(1+$B$16/100)*(1-(Oletukset!$B$6+INDEX(Operaattorihinnat!$E$22:$E$26,$C$56)*(1+Oletukset!$B$11/100))/100),"")</f>
        <v>13.253565599999998</v>
      </c>
      <c r="D61" s="51"/>
      <c r="E61" s="51"/>
      <c r="F61" s="51"/>
    </row>
    <row r="62" spans="1:6" hidden="1" outlineLevel="1" x14ac:dyDescent="0.25">
      <c r="A62" s="51" t="s">
        <v>139</v>
      </c>
      <c r="B62" s="54">
        <f>IF(Operaattorihinnat!$B$2="Kyllä",B59+($B$11*B60+$B$12*B61)/$B$13,"")</f>
        <v>7.8311389499999997</v>
      </c>
      <c r="C62" s="54">
        <f>IF(Operaattorihinnat!$D$2="Kyllä",C59+($B$11*C60+$B$12*C61)/$B$13,"")</f>
        <v>6.2276231999999965</v>
      </c>
      <c r="D62" s="51"/>
      <c r="E62" s="51"/>
      <c r="F62" s="51"/>
    </row>
    <row r="63" spans="1:6" hidden="1" outlineLevel="1" x14ac:dyDescent="0.25">
      <c r="A63" s="51" t="s">
        <v>114</v>
      </c>
      <c r="B63" s="54">
        <f>IF(Operaattorihinnat!$B$2="Kyllä",B37+B39+B40,"")</f>
        <v>126.59444444444445</v>
      </c>
      <c r="C63" s="54">
        <f>IF(Operaattorihinnat!$D$2="Kyllä",C37+C39+C40,"")</f>
        <v>72.7</v>
      </c>
      <c r="D63" s="51"/>
      <c r="E63" s="51"/>
      <c r="F63" s="51"/>
    </row>
    <row r="64" spans="1:6" collapsed="1" x14ac:dyDescent="0.25">
      <c r="A64" s="51" t="s">
        <v>179</v>
      </c>
      <c r="B64" s="52">
        <f>IF(Operaattorihinnat!$B$2="Kyllä",IFERROR(INDEX($D$69:$D$73,MATCH(TRUE,$F$69:$F$73,0)),""),"")</f>
        <v>208</v>
      </c>
      <c r="C64" s="52">
        <f>IF(Operaattorihinnat!$D$2="Kyllä",IFERROR(INDEX($D$77:$D$81,MATCH(TRUE,$F$77:$F$81,0)),""),"")</f>
        <v>253</v>
      </c>
      <c r="D64" s="51"/>
      <c r="E64" s="51"/>
      <c r="F64" s="51"/>
    </row>
    <row r="65" spans="1:6" x14ac:dyDescent="0.25">
      <c r="A65" s="51" t="s">
        <v>180</v>
      </c>
      <c r="B65" s="53">
        <f>IF(Operaattorihinnat!$B$2="Kyllä",IFERROR(INDEX($E$69:$E$73,MATCH(TRUE,$F$69:$F$73,0)),100000),"")</f>
        <v>284.26666666666665</v>
      </c>
      <c r="C65" s="53">
        <f>IF(Operaattorihinnat!$D$2="Kyllä",IFERROR(INDEX($E$77:$E$81,MATCH(TRUE,$F$77:$F$81,0)),100000),"")</f>
        <v>345.76666666666665</v>
      </c>
      <c r="D65" s="51"/>
      <c r="E65" s="51"/>
      <c r="F65" s="51"/>
    </row>
    <row r="66" spans="1:6" x14ac:dyDescent="0.25">
      <c r="A66" s="55"/>
      <c r="B66" s="55"/>
      <c r="C66" s="55"/>
      <c r="D66" s="55"/>
      <c r="E66" s="55"/>
      <c r="F66" s="55"/>
    </row>
    <row r="67" spans="1:6" x14ac:dyDescent="0.25">
      <c r="A67" s="55" t="str">
        <f>"Ajoaikatarve – "&amp;B$4</f>
        <v>Ajoaikatarve – KSMYK</v>
      </c>
      <c r="B67" s="55"/>
      <c r="C67" s="55"/>
      <c r="D67" s="55"/>
      <c r="E67" s="55"/>
      <c r="F67" s="55"/>
    </row>
    <row r="68" spans="1:6" x14ac:dyDescent="0.25">
      <c r="A68" s="51" t="s">
        <v>115</v>
      </c>
      <c r="B68" s="51" t="s">
        <v>144</v>
      </c>
      <c r="C68" s="51" t="s">
        <v>116</v>
      </c>
      <c r="D68" s="51" t="s">
        <v>117</v>
      </c>
      <c r="E68" s="51" t="s">
        <v>118</v>
      </c>
      <c r="F68" s="51" t="s">
        <v>119</v>
      </c>
    </row>
    <row r="69" spans="1:6" x14ac:dyDescent="0.25">
      <c r="A69" s="51">
        <f>Oletukset!A14</f>
        <v>0</v>
      </c>
      <c r="B69" s="51">
        <f>Oletukset!B14</f>
        <v>200</v>
      </c>
      <c r="C69" s="51">
        <f>Oletukset!A15</f>
        <v>25</v>
      </c>
      <c r="D69" s="51">
        <f>IFERROR(ROUNDUP(($B$63+B69)/$B$62,0),"")</f>
        <v>42</v>
      </c>
      <c r="E69" s="51">
        <f>IFERROR(D69*($B$14*2+$B$15)/$B$22,"")</f>
        <v>57.4</v>
      </c>
      <c r="F69" s="51" t="b">
        <f>IF(AND(ISNUMBER(E69),E69&gt;=A69,E69&lt;C69),TRUE,FALSE)</f>
        <v>0</v>
      </c>
    </row>
    <row r="70" spans="1:6" x14ac:dyDescent="0.25">
      <c r="A70" s="51">
        <f>Oletukset!A15</f>
        <v>25</v>
      </c>
      <c r="B70" s="51">
        <f>Oletukset!B15</f>
        <v>400</v>
      </c>
      <c r="C70" s="51">
        <f>Oletukset!A16</f>
        <v>51</v>
      </c>
      <c r="D70" s="51">
        <f>IFERROR(ROUNDUP(($B$63+B70)/$B$62,0),"")</f>
        <v>68</v>
      </c>
      <c r="E70" s="51">
        <f>IFERROR(D70*($B$14*2+$B$15)/$B$22,"")</f>
        <v>92.933333333333337</v>
      </c>
      <c r="F70" s="51" t="b">
        <f>IF(AND(ISNUMBER(E70),E70&gt;=A70,E70&lt;C70),TRUE,FALSE)</f>
        <v>0</v>
      </c>
    </row>
    <row r="71" spans="1:6" x14ac:dyDescent="0.25">
      <c r="A71" s="51">
        <f>Oletukset!A16</f>
        <v>51</v>
      </c>
      <c r="B71" s="51">
        <f>Oletukset!B16</f>
        <v>800</v>
      </c>
      <c r="C71" s="51">
        <f>Oletukset!A17</f>
        <v>76</v>
      </c>
      <c r="D71" s="51">
        <f>IFERROR(ROUNDUP(($B$63+B71)/$B$62,0),"")</f>
        <v>119</v>
      </c>
      <c r="E71" s="51">
        <f>IFERROR(D71*($B$14*2+$B$15)/$B$22,"")</f>
        <v>162.63333333333333</v>
      </c>
      <c r="F71" s="51" t="b">
        <f>IF(AND(ISNUMBER(E71),E71&gt;=A71,E71&lt;C71),TRUE,FALSE)</f>
        <v>0</v>
      </c>
    </row>
    <row r="72" spans="1:6" x14ac:dyDescent="0.25">
      <c r="A72" s="51">
        <f>Oletukset!A17</f>
        <v>76</v>
      </c>
      <c r="B72" s="51">
        <f>Oletukset!B17</f>
        <v>1200</v>
      </c>
      <c r="C72" s="51">
        <f>Oletukset!A18</f>
        <v>101</v>
      </c>
      <c r="D72" s="51">
        <f>IFERROR(ROUNDUP(($B$63+B72)/$B$62,0),"")</f>
        <v>170</v>
      </c>
      <c r="E72" s="51">
        <f>IFERROR(D72*($B$14*2+$B$15)/$B$22,"")</f>
        <v>232.33333333333334</v>
      </c>
      <c r="F72" s="51" t="b">
        <f>IF(AND(ISNUMBER(E72),E72&gt;=A72,E72&lt;C72),TRUE,FALSE)</f>
        <v>0</v>
      </c>
    </row>
    <row r="73" spans="1:6" x14ac:dyDescent="0.25">
      <c r="A73" s="51">
        <f>Oletukset!A18</f>
        <v>101</v>
      </c>
      <c r="B73" s="51">
        <f>Oletukset!B18</f>
        <v>1500</v>
      </c>
      <c r="C73" s="51">
        <f>100000</f>
        <v>100000</v>
      </c>
      <c r="D73" s="51">
        <f>IFERROR(ROUNDUP(($B$63+B73)/$B$62,0),"")</f>
        <v>208</v>
      </c>
      <c r="E73" s="51">
        <f>IFERROR(D73*($B$14*2+$B$15)/$B$22,"")</f>
        <v>284.26666666666665</v>
      </c>
      <c r="F73" s="51" t="b">
        <f>IF(AND(ISNUMBER(E73),E73&gt;=A73,E73&lt;C73),TRUE,FALSE)</f>
        <v>1</v>
      </c>
    </row>
    <row r="74" spans="1:6" x14ac:dyDescent="0.25">
      <c r="A74" s="55"/>
      <c r="B74" s="55"/>
      <c r="C74" s="55"/>
      <c r="D74" s="55"/>
      <c r="E74" s="55"/>
      <c r="F74" s="55"/>
    </row>
    <row r="75" spans="1:6" x14ac:dyDescent="0.25">
      <c r="A75" s="55" t="str">
        <f>"Ajoaikatarve – "&amp;C$4</f>
        <v>Ajoaikatarve – Konnektio</v>
      </c>
      <c r="B75" s="55"/>
      <c r="C75" s="55"/>
      <c r="D75" s="55"/>
      <c r="E75" s="55"/>
      <c r="F75" s="55"/>
    </row>
    <row r="76" spans="1:6" x14ac:dyDescent="0.25">
      <c r="A76" s="51" t="s">
        <v>115</v>
      </c>
      <c r="B76" s="51" t="s">
        <v>144</v>
      </c>
      <c r="C76" s="51" t="s">
        <v>116</v>
      </c>
      <c r="D76" s="51" t="s">
        <v>117</v>
      </c>
      <c r="E76" s="51" t="s">
        <v>118</v>
      </c>
      <c r="F76" s="51" t="s">
        <v>119</v>
      </c>
    </row>
    <row r="77" spans="1:6" x14ac:dyDescent="0.25">
      <c r="A77" s="51">
        <f>Oletukset!A14</f>
        <v>0</v>
      </c>
      <c r="B77" s="51">
        <f>Oletukset!B14</f>
        <v>200</v>
      </c>
      <c r="C77" s="51">
        <f>Oletukset!A15</f>
        <v>25</v>
      </c>
      <c r="D77" s="51">
        <f>IFERROR(ROUNDUP(($C$63+B77)/$C$62,0),"")</f>
        <v>44</v>
      </c>
      <c r="E77" s="51">
        <f>IFERROR(D77*($B$14*2+$B$15)/$B$22,"")</f>
        <v>60.133333333333333</v>
      </c>
      <c r="F77" s="51" t="b">
        <f>IF(AND(ISNUMBER(E77),E77&gt;=A77,E77&lt;C77),TRUE,FALSE)</f>
        <v>0</v>
      </c>
    </row>
    <row r="78" spans="1:6" x14ac:dyDescent="0.25">
      <c r="A78" s="51">
        <f>Oletukset!A15</f>
        <v>25</v>
      </c>
      <c r="B78" s="51">
        <f>Oletukset!B15</f>
        <v>400</v>
      </c>
      <c r="C78" s="51">
        <f>Oletukset!A16</f>
        <v>51</v>
      </c>
      <c r="D78" s="51">
        <f>IFERROR(ROUNDUP(($C$63+B78)/$C$62,0),"")</f>
        <v>76</v>
      </c>
      <c r="E78" s="51">
        <f>IFERROR(D78*($B$14*2+$B$15)/$B$22,"")</f>
        <v>103.86666666666666</v>
      </c>
      <c r="F78" s="51" t="b">
        <f>IF(AND(ISNUMBER(E78),E78&gt;=A78,E78&lt;C78),TRUE,FALSE)</f>
        <v>0</v>
      </c>
    </row>
    <row r="79" spans="1:6" x14ac:dyDescent="0.25">
      <c r="A79" s="51">
        <f>Oletukset!A16</f>
        <v>51</v>
      </c>
      <c r="B79" s="51">
        <f>Oletukset!B16</f>
        <v>800</v>
      </c>
      <c r="C79" s="51">
        <f>Oletukset!A17</f>
        <v>76</v>
      </c>
      <c r="D79" s="51">
        <f>IFERROR(ROUNDUP(($C$63+B79)/$C$62,0),"")</f>
        <v>141</v>
      </c>
      <c r="E79" s="51">
        <f>IFERROR(D79*($B$14*2+$B$15)/$B$22,"")</f>
        <v>192.7</v>
      </c>
      <c r="F79" s="51" t="b">
        <f>IF(AND(ISNUMBER(E79),E79&gt;=A79,E79&lt;C79),TRUE,FALSE)</f>
        <v>0</v>
      </c>
    </row>
    <row r="80" spans="1:6" x14ac:dyDescent="0.25">
      <c r="A80" s="51">
        <f>Oletukset!A17</f>
        <v>76</v>
      </c>
      <c r="B80" s="51">
        <f>Oletukset!B17</f>
        <v>1200</v>
      </c>
      <c r="C80" s="51">
        <f>Oletukset!A18</f>
        <v>101</v>
      </c>
      <c r="D80" s="51">
        <f>IFERROR(ROUNDUP(($C$63+B80)/$C$62,0),"")</f>
        <v>205</v>
      </c>
      <c r="E80" s="51">
        <f>IFERROR(D80*($B$14*2+$B$15)/$B$22,"")</f>
        <v>280.16666666666669</v>
      </c>
      <c r="F80" s="51" t="b">
        <f>IF(AND(ISNUMBER(E80),E80&gt;=A80,E80&lt;C80),TRUE,FALSE)</f>
        <v>0</v>
      </c>
    </row>
    <row r="81" spans="1:6" x14ac:dyDescent="0.25">
      <c r="A81" s="51">
        <f>Oletukset!A18</f>
        <v>101</v>
      </c>
      <c r="B81" s="51">
        <f>Oletukset!B18</f>
        <v>1500</v>
      </c>
      <c r="C81" s="51">
        <f>100000</f>
        <v>100000</v>
      </c>
      <c r="D81" s="51">
        <f>IFERROR(ROUNDUP(($C$63+B81)/$C$62,0),"")</f>
        <v>253</v>
      </c>
      <c r="E81" s="51">
        <f>IFERROR(D81*($B$14*2+$B$15)/$B$22,"")</f>
        <v>345.76666666666665</v>
      </c>
      <c r="F81" s="51" t="b">
        <f>IF(AND(ISNUMBER(E81),E81&gt;=A81,E81&lt;C81),TRUE,FALSE)</f>
        <v>1</v>
      </c>
    </row>
  </sheetData>
  <sheetProtection sheet="1" objects="1" scenarios="1" formatCells="0" formatColumns="0" formatRows="0" insertColumns="0" insertRows="0" deleteColumns="0" deleteRows="0" sort="0" autoFilter="0" pivotTables="0"/>
  <dataValidations count="1">
    <dataValidation type="list" allowBlank="1" showInputMessage="1" showErrorMessage="1" sqref="B7 C7" xr:uid="{230729BE-991D-4D95-B923-E598317E4FCC}">
      <formula1>"Ei,Kyllä"</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988F972B-1B8B-4A70-B308-4129483CEA75}">
          <x14:formula1>
            <xm:f>Operaattorihinnat!$G$22:$G$26</xm:f>
          </x14:formula1>
          <xm:sqref>B5</xm:sqref>
        </x14:dataValidation>
        <x14:dataValidation type="list" allowBlank="1" showInputMessage="1" showErrorMessage="1" xr:uid="{2DA06A4C-C341-4BB7-8F87-FF0E2238652B}">
          <x14:formula1>
            <xm:f>Operaattorihinnat!$G$12:$G$17</xm:f>
          </x14:formula1>
          <xm:sqref>B6</xm:sqref>
        </x14:dataValidation>
        <x14:dataValidation type="list" allowBlank="1" showInputMessage="1" showErrorMessage="1" xr:uid="{37B586DB-D8D7-4EEC-A867-74760020EF3E}">
          <x14:formula1>
            <xm:f>Operaattorihinnat!$H$22:$H$26</xm:f>
          </x14:formula1>
          <xm:sqref>C5</xm:sqref>
        </x14:dataValidation>
        <x14:dataValidation type="list" allowBlank="1" showInputMessage="1" showErrorMessage="1" xr:uid="{DD3EF765-A456-408F-A6D8-F86166EA2A7A}">
          <x14:formula1>
            <xm:f>Operaattorihinnat!$H$12:$H$17</xm:f>
          </x14:formula1>
          <xm:sqref>C6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5</vt:i4>
      </vt:variant>
    </vt:vector>
  </HeadingPairs>
  <TitlesOfParts>
    <vt:vector size="5" baseType="lpstr">
      <vt:lpstr>Etusivu</vt:lpstr>
      <vt:lpstr>Palveluntuottajat</vt:lpstr>
      <vt:lpstr>Operaattorihinnat</vt:lpstr>
      <vt:lpstr>Oletukset</vt:lpstr>
      <vt:lpstr>Laskuri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Harri Kolu</dc:creator>
  <cp:keywords/>
  <dc:description/>
  <cp:lastModifiedBy>Harri Kolu</cp:lastModifiedBy>
  <cp:revision/>
  <dcterms:created xsi:type="dcterms:W3CDTF">2026-06-30T15:27:53Z</dcterms:created>
  <dcterms:modified xsi:type="dcterms:W3CDTF">2026-08-24T10:21:38Z</dcterms:modified>
  <cp:category/>
  <cp:contentStatus/>
</cp:coreProperties>
</file>