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https://tilipolku-my.sharepoint.com/personal/harri_kolu_tilipolku_fi/Documents/Tiedostot/Claude/Kela2027/"/>
    </mc:Choice>
  </mc:AlternateContent>
  <xr:revisionPtr revIDLastSave="0" documentId="8_{F3D78D3B-3DD1-41DB-8CC1-3F4498CBCE52}" xr6:coauthVersionLast="47" xr6:coauthVersionMax="47" xr10:uidLastSave="{00000000-0000-0000-0000-000000000000}"/>
  <bookViews>
    <workbookView xWindow="9675" yWindow="420" windowWidth="29400" windowHeight="18420" xr2:uid="{72C9FA74-F043-45EC-9AC3-FB37056546E4}"/>
  </bookViews>
  <sheets>
    <sheet name="Etusivu" sheetId="4" r:id="rId1"/>
    <sheet name="Palveluntuottajat" sheetId="5" r:id="rId2"/>
    <sheet name="Operaattorihinnat" sheetId="1" r:id="rId3"/>
    <sheet name="Oletukset" sheetId="3" r:id="rId4"/>
    <sheet name="Laskuri" sheetId="2"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55" i="2" l="1" a="1"/>
  <c r="B55" i="2"/>
  <c r="B54" i="2" a="1"/>
  <c r="B54" i="2" s="1"/>
  <c r="B9" i="2"/>
  <c r="B20" i="2" s="1"/>
  <c r="B63" i="2"/>
  <c r="A63" i="2"/>
  <c r="C62" i="2"/>
  <c r="B62" i="2"/>
  <c r="A62" i="2"/>
  <c r="C61" i="2"/>
  <c r="B61" i="2"/>
  <c r="A61" i="2"/>
  <c r="C60" i="2"/>
  <c r="B60" i="2"/>
  <c r="A60" i="2"/>
  <c r="C59" i="2"/>
  <c r="B59" i="2"/>
  <c r="A59" i="2"/>
  <c r="B56" i="2" l="1"/>
  <c r="B18" i="2"/>
  <c r="B19" i="2"/>
  <c r="G20" i="5"/>
  <c r="D20" i="5"/>
  <c r="G19" i="5"/>
  <c r="D19" i="5"/>
  <c r="G18" i="5"/>
  <c r="D18" i="5"/>
  <c r="G17" i="5"/>
  <c r="D17" i="5"/>
  <c r="G16" i="5"/>
  <c r="D16" i="5"/>
  <c r="G15" i="5"/>
  <c r="D15" i="5"/>
  <c r="G14" i="5"/>
  <c r="D14" i="5"/>
  <c r="G13" i="5"/>
  <c r="D13" i="5"/>
  <c r="G12" i="5"/>
  <c r="D12" i="5"/>
  <c r="G11" i="5"/>
  <c r="D11" i="5"/>
  <c r="G10" i="5"/>
  <c r="D10" i="5"/>
  <c r="G9" i="5"/>
  <c r="D9" i="5"/>
  <c r="G8" i="5"/>
  <c r="D8" i="5"/>
  <c r="G7" i="5"/>
  <c r="D7" i="5"/>
  <c r="G6" i="5"/>
  <c r="D6" i="5"/>
  <c r="G5" i="5"/>
  <c r="D5" i="5"/>
  <c r="G4" i="5"/>
  <c r="D4" i="5"/>
  <c r="B31" i="1" l="1"/>
  <c r="A31" i="1"/>
  <c r="B30" i="1"/>
  <c r="A30" i="1"/>
  <c r="H2" i="1"/>
  <c r="I6" i="1" s="1"/>
  <c r="C36" i="2" a="1"/>
  <c r="C36" i="2" s="1"/>
  <c r="B6" i="3"/>
  <c r="C39" i="2"/>
  <c r="B21" i="2"/>
  <c r="B35" i="2"/>
  <c r="I9" i="1" l="1"/>
  <c r="B27" i="2" s="1"/>
  <c r="I8" i="1"/>
  <c r="I10" i="1"/>
  <c r="B28" i="2" s="1"/>
  <c r="I25" i="1"/>
  <c r="C30" i="1" a="1"/>
  <c r="C30" i="1" s="1"/>
  <c r="J22" i="1"/>
  <c r="I14" i="1"/>
  <c r="I26" i="1"/>
  <c r="B36" i="2" s="1" a="1"/>
  <c r="B36" i="2" s="1"/>
  <c r="I13" i="1"/>
  <c r="J23" i="1"/>
  <c r="J24" i="1"/>
  <c r="J26" i="1"/>
  <c r="C37" i="2" s="1" a="1"/>
  <c r="C37" i="2" s="1"/>
  <c r="I22" i="1"/>
  <c r="I18" i="1"/>
  <c r="I23" i="1"/>
  <c r="I5" i="1"/>
  <c r="B26" i="2" s="1"/>
  <c r="I7" i="1"/>
  <c r="I24" i="1"/>
  <c r="I15" i="1"/>
  <c r="I16" i="1"/>
  <c r="I17" i="1"/>
  <c r="J25" i="1"/>
  <c r="I20" i="1"/>
  <c r="B38" i="2" s="1"/>
  <c r="I21" i="1"/>
  <c r="I12" i="1"/>
  <c r="C34" i="2"/>
  <c r="B22" i="2"/>
  <c r="B25" i="2" l="1"/>
  <c r="B53" i="2" a="1"/>
  <c r="B53" i="2" s="1"/>
  <c r="B39" i="2"/>
  <c r="B57" i="2" s="1"/>
  <c r="C44" i="2"/>
  <c r="B44" i="2"/>
  <c r="D63" i="2" l="1"/>
  <c r="E63" i="2" s="1"/>
  <c r="F63" i="2" s="1"/>
  <c r="D61" i="2"/>
  <c r="E61" i="2" s="1"/>
  <c r="F61" i="2" s="1"/>
  <c r="D62" i="2"/>
  <c r="E62" i="2" s="1"/>
  <c r="F62" i="2" s="1"/>
  <c r="D60" i="2"/>
  <c r="E60" i="2" s="1"/>
  <c r="F60" i="2" s="1"/>
  <c r="D59" i="2"/>
  <c r="E59" i="2" s="1"/>
  <c r="F59" i="2" s="1"/>
  <c r="B48" i="2" a="1"/>
  <c r="B48" i="2" s="1"/>
  <c r="B29" i="2"/>
  <c r="B31" i="2" s="1"/>
  <c r="B34" i="2" l="1"/>
  <c r="B40" i="2" s="1"/>
  <c r="B43" i="2" s="1"/>
  <c r="B45" i="2" s="1"/>
  <c r="B46" i="2" s="1"/>
  <c r="B30" i="2"/>
  <c r="B37" i="2" a="1"/>
  <c r="B37" i="2" s="1"/>
  <c r="D49" i="2" s="1"/>
  <c r="B49" i="2" s="1"/>
  <c r="E50" i="2"/>
  <c r="C50" i="2" s="1"/>
  <c r="D50" i="2"/>
  <c r="B5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Harri Kolu</author>
  </authors>
  <commentList>
    <comment ref="D49" authorId="0" shapeId="0" xr:uid="{D8A50B86-C96D-499D-9111-FCC4376552E8}">
      <text>
        <r>
          <rPr>
            <b/>
            <sz val="9"/>
            <color indexed="81"/>
            <rFont val="Tahoma"/>
            <charset val="1"/>
          </rPr>
          <t>Harri Kolu:</t>
        </r>
        <r>
          <rPr>
            <sz val="9"/>
            <color indexed="81"/>
            <rFont val="Tahoma"/>
            <charset val="1"/>
          </rPr>
          <t xml:space="preserve">
Apulaskelma: raaka palkkaprosentti (voi olla negatiivinen). B44 näyttää tämän tai tekstin "Negatiivinen arvo".</t>
        </r>
      </text>
    </comment>
    <comment ref="C63" authorId="0" shapeId="0" xr:uid="{B9B59F47-5760-4BC3-B6EB-80C4B1C01044}">
      <text>
        <r>
          <rPr>
            <b/>
            <sz val="9"/>
            <color indexed="81"/>
            <rFont val="Tahoma"/>
            <family val="2"/>
          </rPr>
          <t>Harri Kolu:
Yläraja viimeiselle katetavoiteportaalle (yli 101h), ei todellista ylärajaa Oletukset-taulukossa.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<sst xmlns="http://schemas.openxmlformats.org/spreadsheetml/2006/main" count="211" uniqueCount="179">
  <si>
    <t>Kela-maksut</t>
  </si>
  <si>
    <t>Lähtötiedot</t>
  </si>
  <si>
    <t>Tuotot</t>
  </si>
  <si>
    <t>Lähtömaksu/kyyti</t>
  </si>
  <si>
    <t>Kertamaksut</t>
  </si>
  <si>
    <t>Ajoneuvolaite (kertamaksu)</t>
  </si>
  <si>
    <t>Kuukausimaksut</t>
  </si>
  <si>
    <t>Tiedonsiirto Cabman, Mitax (kk)</t>
  </si>
  <si>
    <t>Tiedonsiirto Semel (kk)</t>
  </si>
  <si>
    <t>Välitys 1</t>
  </si>
  <si>
    <t>Välitys 2</t>
  </si>
  <si>
    <t>Välitys 3</t>
  </si>
  <si>
    <t>Välitys 4</t>
  </si>
  <si>
    <t>Oletukset</t>
  </si>
  <si>
    <t>Sopimuskausi (kk)</t>
  </si>
  <si>
    <t>Kuljettajan palkka+sivukulut tuotoista (%)</t>
  </si>
  <si>
    <t>provisio+lomakorvaus+sivukulut, lähtökohtaisesti yrittäjän pitäisi saada sama palkka kuin kuljettaja</t>
  </si>
  <si>
    <t>Autokulut/km (€)</t>
  </si>
  <si>
    <t>Ajoaika alle 30 km (km/h)</t>
  </si>
  <si>
    <t>Ajoaika 31-60 km (km/h)</t>
  </si>
  <si>
    <t>Ajoaika yli 60 km (km/h)</t>
  </si>
  <si>
    <t>Aika alaraja (h/kk)</t>
  </si>
  <si>
    <t>&lt; 25 h</t>
  </si>
  <si>
    <t>vähän</t>
  </si>
  <si>
    <t>25–50 h</t>
  </si>
  <si>
    <t xml:space="preserve">jonkin verran </t>
  </si>
  <si>
    <t>51–75 h</t>
  </si>
  <si>
    <t>noin puolet</t>
  </si>
  <si>
    <t>76–100 h</t>
  </si>
  <si>
    <t>merkittävä määrä</t>
  </si>
  <si>
    <t>&gt; 100 h</t>
  </si>
  <si>
    <t>pääosin</t>
  </si>
  <si>
    <t>Kannattavuuslaskuri – Kela-taksit 2027</t>
  </si>
  <si>
    <t>1. OMAT SYÖTTEET</t>
  </si>
  <si>
    <t>kyytiä kuukaudessa</t>
  </si>
  <si>
    <t>Keskimääräinen matka / kyyti</t>
  </si>
  <si>
    <t>asiakaskyydin pituus, km</t>
  </si>
  <si>
    <t>Luokseajomatka / kyyti</t>
  </si>
  <si>
    <t>tyhjänä asiakkaan luo ajettu matka, km</t>
  </si>
  <si>
    <t>Paluukyytien osuus</t>
  </si>
  <si>
    <t>% kyydeistä, joista maksetaan myös paluumatka</t>
  </si>
  <si>
    <t>Liittymismaksupaketti</t>
  </si>
  <si>
    <t>valitse paketti</t>
  </si>
  <si>
    <t>Semel-tiedonsiirto</t>
  </si>
  <si>
    <t>Kyllä = kalliimpi Semel-tiedonsiirto</t>
  </si>
  <si>
    <t>2. AJOSUORITTEET / KK</t>
  </si>
  <si>
    <t>Maksetut kyydit (sis. paluukyydit)</t>
  </si>
  <si>
    <t>kyydit × (1 + paluu-%)</t>
  </si>
  <si>
    <t>Korvattavat kilometrit (tuottoihin)</t>
  </si>
  <si>
    <t>asiakaskm + paluukyytien paluukm</t>
  </si>
  <si>
    <t>Auton ajamat kilometrit (kuluihin)</t>
  </si>
  <si>
    <t>(2 × matka + luokseajo) × kyydit</t>
  </si>
  <si>
    <t>Keskinopeus (km/h)</t>
  </si>
  <si>
    <t>matkan pituuden mukaan Lähtötiedoista</t>
  </si>
  <si>
    <t>Kyyteihin kuluva aika</t>
  </si>
  <si>
    <t>auton ajamat km / keskinopeus</t>
  </si>
  <si>
    <t>3. TUOTOT / KK</t>
  </si>
  <si>
    <t>Lähtömaksutuotot</t>
  </si>
  <si>
    <t>maksetut kyydit × lähtömaksu</t>
  </si>
  <si>
    <t>Kilometrituotot</t>
  </si>
  <si>
    <t>korvattavat km × ajomaksu</t>
  </si>
  <si>
    <t>Tuotot yhteensä</t>
  </si>
  <si>
    <t>tuotot yhteensä / auton ajamat km</t>
  </si>
  <si>
    <t>4. KUSTANNUKSET / KK</t>
  </si>
  <si>
    <t>Kuljettajan palkka + sivukulut</t>
  </si>
  <si>
    <t>Autokulut</t>
  </si>
  <si>
    <t>auton ajamat km × €/km (sis. luokseajo)</t>
  </si>
  <si>
    <t>Välityksen kk-maksu</t>
  </si>
  <si>
    <t>Välitysprovisio</t>
  </si>
  <si>
    <t>Tiedonsiirto</t>
  </si>
  <si>
    <t>tavallinen / Semel</t>
  </si>
  <si>
    <t>Kertamaksujen jaksotus</t>
  </si>
  <si>
    <t>Kustannukset yhteensä</t>
  </si>
  <si>
    <t>5. TULOS</t>
  </si>
  <si>
    <t>Kate (tuotot – kustannukset)</t>
  </si>
  <si>
    <t>Yli / ali tavoitteen</t>
  </si>
  <si>
    <t>Kannattaako liittyä?</t>
  </si>
  <si>
    <t>Kyllä</t>
  </si>
  <si>
    <t>Palkkaprosentti (%)</t>
  </si>
  <si>
    <t>Lomakorvausprosentti (%)</t>
  </si>
  <si>
    <t>Sivukuluprosentti (%)</t>
  </si>
  <si>
    <t>Välitys 5 Jytaksi</t>
  </si>
  <si>
    <t>Välitystaso (1–5)</t>
  </si>
  <si>
    <t>1=Välitys 1 … 5=Välitys 5</t>
  </si>
  <si>
    <t>Operaattori</t>
  </si>
  <si>
    <t>valitse operaattori (vain hinnat tarkistetut näkyvissä)</t>
  </si>
  <si>
    <t>Konnektio</t>
  </si>
  <si>
    <t>Hinnat tarkistettu</t>
  </si>
  <si>
    <t>Ei</t>
  </si>
  <si>
    <t>Aktiivinen operaattori</t>
  </si>
  <si>
    <t>Aktiivinen arvo</t>
  </si>
  <si>
    <t>Aktiivinen provisio-%</t>
  </si>
  <si>
    <t>Operaattorivalinnan apulista</t>
  </si>
  <si>
    <t>Käytettävissä Laskurissa</t>
  </si>
  <si>
    <t>tuotot yhteensä / kyyteihin kuluva aika</t>
  </si>
  <si>
    <t>Ajotuotot / h</t>
  </si>
  <si>
    <t>ei sisällä kiinteitä kustannuksia</t>
  </si>
  <si>
    <t>Ajotuotot / km</t>
  </si>
  <si>
    <t>Tarve / km</t>
  </si>
  <si>
    <t>K-S MYK</t>
  </si>
  <si>
    <t>Palkka-% max</t>
  </si>
  <si>
    <t>Syötä omat arviosi sinisiin soluihin. Hinnat haetaan Operaattorihinnat-välilehdeltä.</t>
  </si>
  <si>
    <t>Keski-Suomi</t>
  </si>
  <si>
    <t>Kela-matkojen palveluntuottajat vuosille 2027-2030</t>
  </si>
  <si>
    <t>Maakunta</t>
  </si>
  <si>
    <t>Palveluntuottaja 1</t>
  </si>
  <si>
    <t>Sija 1 Hinta</t>
  </si>
  <si>
    <t>Alv 0</t>
  </si>
  <si>
    <t>Palveluntuottaja 2</t>
  </si>
  <si>
    <t>Sija 2 Hinta</t>
  </si>
  <si>
    <t>Uusimaa</t>
  </si>
  <si>
    <t>Varsinais-Suomi</t>
  </si>
  <si>
    <t>Päijät-Häme</t>
  </si>
  <si>
    <t>Lahden Aluetaksi</t>
  </si>
  <si>
    <t>Tampereen Aluetaksi</t>
  </si>
  <si>
    <t>Etelä-Savo</t>
  </si>
  <si>
    <t>Joensuun Taksi</t>
  </si>
  <si>
    <t>Pohjois-Karjala</t>
  </si>
  <si>
    <t>Kainuu</t>
  </si>
  <si>
    <t>Lappi</t>
  </si>
  <si>
    <t>Keski- ja Pohjoispohjanmaa</t>
  </si>
  <si>
    <t>Pohjois-Suomen Taksi</t>
  </si>
  <si>
    <t>Kanta-Häme</t>
  </si>
  <si>
    <t>Kymenlaakso</t>
  </si>
  <si>
    <t>Kymenlaakson Taksi</t>
  </si>
  <si>
    <t>Pirkanmaa</t>
  </si>
  <si>
    <t>Pohjanmaa</t>
  </si>
  <si>
    <t>Keskustaksi</t>
  </si>
  <si>
    <t>Pohjois-Savo</t>
  </si>
  <si>
    <t>Satakunta</t>
  </si>
  <si>
    <t>Etelä-Pohjanmaa</t>
  </si>
  <si>
    <t>Etelä-Karjala</t>
  </si>
  <si>
    <t>Taksi Helsinki</t>
  </si>
  <si>
    <t>Viedäänkö laskuriin</t>
  </si>
  <si>
    <t>Ajoaikatarpeen aputaulukko</t>
  </si>
  <si>
    <t>Kiinteät kulut / kk (€)</t>
  </si>
  <si>
    <t>Tuntiraja alk.</t>
  </si>
  <si>
    <t>Tuntiraja asti</t>
  </si>
  <si>
    <t>Kyytejä tarv.</t>
  </si>
  <si>
    <t>Tunteja tarv.</t>
  </si>
  <si>
    <t>Kelvollinen</t>
  </si>
  <si>
    <t>Ajoaikatarve</t>
  </si>
  <si>
    <t>Odotusmaksu</t>
  </si>
  <si>
    <t>Avustamislisä</t>
  </si>
  <si>
    <t>Paari- ja porrasvetolisä</t>
  </si>
  <si>
    <t>Ajomaksu/km taksaluokka 1</t>
  </si>
  <si>
    <t>Ajomaksu/km taksaluokka 2</t>
  </si>
  <si>
    <t>Kyytejä tavallinen / kk</t>
  </si>
  <si>
    <t>Kyytejä esteetön avustamislisällä / kk</t>
  </si>
  <si>
    <t>esteetön kyytejä, joissa avustamislisä, kk</t>
  </si>
  <si>
    <t>Kyytejä esteetön paari-/porrasvedolla / kk</t>
  </si>
  <si>
    <t>esteetön kyytejä, joissa paari-/porrasvetolisä, kk</t>
  </si>
  <si>
    <t>Kyytejä yhteensä / kk</t>
  </si>
  <si>
    <t>tavalliset + avustamislisä + paari-/porrasveto</t>
  </si>
  <si>
    <t>Avustamislisätuotot</t>
  </si>
  <si>
    <t>avustamislisä-kyydit × (1 + paluu-%) × avustamislisä</t>
  </si>
  <si>
    <t>Paari-/porrasvetotuotot</t>
  </si>
  <si>
    <t>paari-/porrasveto-kyydit × (1 + paluu-%) × paari-/porrasvetolisä</t>
  </si>
  <si>
    <t>Marginaali / kyyti, tavallinen (€)</t>
  </si>
  <si>
    <t>Lisä / avustamislisä-kyyti (€)</t>
  </si>
  <si>
    <t>avustamislisä × (1+paluu-%) × (1-palkka%-provisio%)</t>
  </si>
  <si>
    <t>Lisä / paari-/porrasveto-kyyti (€)</t>
  </si>
  <si>
    <t>paari-/porrasvetolisä × (1+paluu-%) × (1-palkka%-provisio%)</t>
  </si>
  <si>
    <t>Marginaali / kyyti, painotettu keskiarvo (€)</t>
  </si>
  <si>
    <t>tavallinen + kyytilajien osuuksilla painotetut lisät</t>
  </si>
  <si>
    <t>Katetavoite ajan mukaan</t>
  </si>
  <si>
    <t>Katetavoite (€/kk)</t>
  </si>
  <si>
    <t>laskurin katetavoitteella katetaan yrityksen kiinteät kulut</t>
  </si>
  <si>
    <t>Katetavoite / kk (ajan mukaan)</t>
  </si>
  <si>
    <t>Katetavoite</t>
  </si>
  <si>
    <t>ajomaksu / km, jotta kate = katetavoite</t>
  </si>
  <si>
    <t>palkkaprosentti, jotta kate = katetavoite valitun operaattorin ajomaksulla</t>
  </si>
  <si>
    <t>Kannattavuuslaskuri Kela 2027-2030
Yleistä
Tämä taulukko on laadittu työkaluksi Kela 2027 sopimusharkintaan. Taulukko on rakennettu niin, että voit muokata useita sen kenttiä yrityksesi toimintaan sopivaksi. Muokattavat kentät on merkitty taulukossa sinisellä värillä. Kysy tarvittaessa kirjanpitäjältäsi tietoja yrityksesi kustannusrakenteesta, niin saat laskennasta tarkemman. Taulukossa ei huomioida tulona odotusajalta maksettavia korvauksia eikä palvelutuottajan mahdollisesti maksamia luokseajokorvauksia. Taulukko on laskettu yhden ajoneuvon suoritteille. Jos yritykselläsi on useita ajoneuvoja tai sekä esteettömiä ja tavallisia takseja, suorita laskenta molemmille ajoneuvoille erikseen. Tarvittaessa voit muuttaa kiinteisiin kuluihin varattua katetavoitetta taulukossa Oletukset.
Taulukon arvoilla vahvistuu entisestään tieto, että kaupunkitakseille erityisesti pitkien kyytien ajaminen on kannattamatonta/heikosti kannattavaa ja myös maakuntataksien osalta vaaditaan suurta paluukyytien osuutta kannattavan liikenteen aikaansaamiseksi. Yleisenä ohjeena voitaneen todeta, että ennen päätöksentekoa kannattaa odottaa alueen molemman palveluntuottajan sopimusehdot ja veloitukset ja katsoa sen jälkeen kumpi niistä on itselle sopiva vai onko kumpikaan.
Taulukon julkaisija ei ota vastuuta taulukon mahdollisista virheistä eikä taulukon antamista sopimuksen tekoa ohjaavista suosituksista. Jokainen autoilija tekee itse liittymispäätöksen eikä julkaisijan tarve ole ohjata päätöksentekoa.
Käyttöohje
1)      Tallenna Operaattorihintoihin maakuntasi palveluntuottajien hinnat. Viedäänkö laskuriin rivillä voit päättää, onko palvelutuottaja laskurissa valittavissa. Jos palveluntuottajan hinnat puuttuvat, jätä palveluntuottajan kohdalla kyseisen kentän arvoksi Ei.
2)      Tarkista Oletukset taulukossa erityisesti palkkaprosentti ja autokulut/km. Älä hinnoittele yrittäjänä omaa työpanostasi kuljettajaa halvemmaksi.
3)      Merkitse arvioimasi kyytimäärät ja muut tiedot kohtaan Omat syötteet.
TaxiFacta 13.7.2026</t>
  </si>
  <si>
    <t>Liittymis- ja avausmaksut EV1 aikaraja 1</t>
  </si>
  <si>
    <t>Liittymis- ja avausmaksut EV2 aikaraja 2</t>
  </si>
  <si>
    <t>Liittymis- ja avausmaksut EV3 aikaraja 3</t>
  </si>
  <si>
    <t>Liittymis- ja avausmaksut 1 aikaraja 1</t>
  </si>
  <si>
    <t>Liittymis- ja avausmaksut 2 aikaraja 2</t>
  </si>
  <si>
    <t>Liittymis- ja avausmaksut 3 aikaraja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</si>
</sst>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0\ &quot;km&quot;"/>
    <numFmt numFmtId="165" formatCode="#,##0\ &quot;km&quot;"/>
    <numFmt numFmtId="166" formatCode="#,##0.00\ \€"/>
    <numFmt numFmtId="167" formatCode="#,##0.00\ \€;[Red]\-#,##0.00\ \€"/>
    <numFmt numFmtId="168" formatCode="#,##0\ &quot;%&quot;"/>
    <numFmt numFmtId="169" formatCode="#,##0.00\ &quot;€/km&quot;"/>
    <numFmt numFmtId="170" formatCode="#,##0\ \€"/>
    <numFmt numFmtId="171" formatCode="#,##0\ &quot;km/h&quot;"/>
    <numFmt numFmtId="172" formatCode="#,##0.0\ &quot;h/kk&quot;"/>
    <numFmt numFmtId="173" formatCode="#,##0.00\ &quot;€/h&quot;"/>
    <numFmt numFmtId="174" formatCode="#,##0.0\ &quot;%&quot;"/>
    <numFmt numFmtId="175" formatCode="#,##0.0"/>
    <numFmt numFmtId="176" formatCode="#,##0.0\ &quot;h&quot;"/>
    <numFmt numFmtId="177" formatCode="#,##0.0\ &quot;h&quot;;\-#,##0.0\ &quot;h&quot;;0.0\ &quot;h&quot;;@"/>
  </numFmts>
  <fonts count="19" x14ac:knownFonts="1">
    <font>
      <sz val="11"/>
      <color theme="1"/>
      <name val="Aptos Narrow"/>
      <family val="2"/>
      <scheme val="minor"/>
    </font>
    <font>
      <b/>
      <sz val="11"/>
      <color theme="1"/>
      <name val="Aptos Narrow"/>
      <family val="2"/>
      <scheme val="minor"/>
    </font>
    <font>
      <b/>
      <sz val="14"/>
      <color theme="1"/>
      <name val="Aptos Narrow"/>
      <family val="2"/>
      <scheme val="minor"/>
    </font>
    <font>
      <i/>
      <sz val="11"/>
      <color rgb="FF666666"/>
      <name val="Aptos Narrow"/>
      <family val="2"/>
      <scheme val="minor"/>
    </font>
    <font>
      <sz val="11"/>
      <color rgb="FF0000FF"/>
      <name val="Aptos Narrow"/>
      <family val="2"/>
      <scheme val="minor"/>
    </font>
    <font>
      <sz val="11"/>
      <color rgb="FF888888"/>
      <name val="Aptos Narrow"/>
      <family val="2"/>
      <scheme val="minor"/>
    </font>
    <font>
      <sz val="11"/>
      <color theme="1"/>
      <name val="Aptos Narrow"/>
      <scheme val="minor"/>
    </font>
    <font>
      <b/>
      <sz val="11"/>
      <color theme="1"/>
      <name val="Aptos Narrow"/>
      <scheme val="minor"/>
    </font>
    <font>
      <sz val="11"/>
      <color rgb="FF888888"/>
      <name val="Aptos Narrow"/>
      <scheme val="minor"/>
    </font>
    <font>
      <sz val="11"/>
      <color rgb="FF0000FF"/>
      <name val="Aptos Narrow"/>
      <scheme val="minor"/>
    </font>
    <font>
      <sz val="11"/>
      <color rgb="FF000000"/>
      <name val="Aptos Narrow"/>
      <scheme val="minor"/>
    </font>
    <font>
      <sz val="11"/>
      <color rgb="FF008000"/>
      <name val="Aptos Narrow"/>
      <scheme val="minor"/>
    </font>
    <font>
      <sz val="9"/>
      <color indexed="81"/>
      <name val="Tahoma"/>
      <charset val="1"/>
    </font>
    <font>
      <b/>
      <sz val="9"/>
      <color indexed="81"/>
      <name val="Tahoma"/>
      <charset val="1"/>
    </font>
    <font>
      <sz val="11"/>
      <name val="Aptos Narrow"/>
      <family val="2"/>
      <scheme val="minor"/>
    </font>
    <font>
      <b/>
      <sz val="11"/>
      <color rgb="FF9C0006"/>
      <name val="Aptos Narrow"/>
      <family val="2"/>
      <scheme val="minor"/>
    </font>
    <font>
      <i/>
      <sz val="11"/>
      <color rgb="FF888888"/>
      <name val="Aptos Narrow"/>
      <family val="2"/>
      <scheme val="minor"/>
    </font>
    <font>
      <sz val="11"/>
      <color rgb="FF000000"/>
      <name val="Aptos Narrow"/>
      <family val="2"/>
      <scheme val="minor"/>
    </font>
    <font>
      <b/>
      <sz val="9"/>
      <color indexed="81"/>
      <name val="Tahoma"/>
      <family val="2"/>
    </font>
  </fonts>
  <fills count="10">
    <fill>
      <patternFill patternType="none"/>
    </fill>
    <fill>
      <patternFill patternType="gray125"/>
    </fill>
    <fill>
      <patternFill patternType="solid">
        <fgColor rgb="FFD9E1F2"/>
        <bgColor indexed="64"/>
      </patternFill>
    </fill>
    <fill>
      <patternFill patternType="solid">
        <fgColor rgb="FFE2EFDA"/>
        <bgColor indexed="64"/>
      </patternFill>
    </fill>
    <fill>
      <patternFill patternType="solid">
        <fgColor rgb="FFFCE4D6"/>
        <bgColor indexed="64"/>
      </patternFill>
    </fill>
    <fill>
      <patternFill patternType="solid">
        <fgColor rgb="FFFFF2CC"/>
        <bgColor indexed="64"/>
      </patternFill>
    </fill>
    <fill>
      <patternFill patternType="solid">
        <fgColor rgb="FFFFFDE7"/>
        <bgColor indexed="64"/>
      </patternFill>
    </fill>
    <fill>
      <patternFill patternType="solid">
        <fgColor rgb="FFDDEBF7"/>
        <bgColor indexed="64"/>
      </patternFill>
    </fill>
    <fill>
      <patternFill patternType="solid">
        <fgColor rgb="FFFFC7CE"/>
        <bgColor indexed="64"/>
      </patternFill>
    </fill>
    <fill>
      <patternFill patternType="solid">
        <fgColor rgb="FFFFFFFF"/>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57">
    <xf numFmtId="0" fontId="0" fillId="0" borderId="0" xfId="0"/>
    <xf numFmtId="0" fontId="1" fillId="0" borderId="0" xfId="0" applyFont="1"/>
    <xf numFmtId="0" fontId="1" fillId="0" borderId="0" xfId="0" applyFont="1" applyAlignment="1">
      <alignment horizontal="center"/>
    </xf>
    <xf numFmtId="0" fontId="14" fillId="0" borderId="0" xfId="0" applyFont="1"/>
    <xf numFmtId="2" fontId="14" fillId="0" borderId="0" xfId="0" applyNumberFormat="1" applyFont="1" applyAlignment="1">
      <alignment horizontal="center"/>
    </xf>
    <xf numFmtId="0" fontId="7" fillId="0" borderId="0" xfId="0" applyFont="1"/>
    <xf numFmtId="0" fontId="6" fillId="0" borderId="0" xfId="0" applyFont="1"/>
    <xf numFmtId="0" fontId="9" fillId="0" borderId="0" xfId="0" applyFont="1" applyProtection="1">
      <protection locked="0"/>
    </xf>
    <xf numFmtId="0" fontId="11" fillId="0" borderId="0" xfId="0" applyFont="1"/>
    <xf numFmtId="0" fontId="4" fillId="0" borderId="0" xfId="0" applyFont="1" applyProtection="1">
      <protection locked="0"/>
    </xf>
    <xf numFmtId="0" fontId="10" fillId="0" borderId="0" xfId="0" applyFont="1"/>
    <xf numFmtId="0" fontId="8" fillId="0" borderId="0" xfId="0" applyFont="1"/>
    <xf numFmtId="0" fontId="2" fillId="0" borderId="0" xfId="0" applyFont="1"/>
    <xf numFmtId="0" fontId="3" fillId="0" borderId="0" xfId="0" applyFont="1"/>
    <xf numFmtId="0" fontId="1" fillId="2" borderId="0" xfId="0" applyFont="1" applyFill="1"/>
    <xf numFmtId="0" fontId="0" fillId="2" borderId="0" xfId="0" applyFill="1"/>
    <xf numFmtId="0" fontId="7" fillId="2" borderId="0" xfId="0" applyFont="1" applyFill="1"/>
    <xf numFmtId="0" fontId="9" fillId="6" borderId="0" xfId="0" applyFont="1" applyFill="1" applyProtection="1">
      <protection locked="0"/>
    </xf>
    <xf numFmtId="0" fontId="8" fillId="2" borderId="0" xfId="0" applyFont="1" applyFill="1"/>
    <xf numFmtId="3" fontId="4" fillId="6" borderId="1" xfId="0" applyNumberFormat="1" applyFont="1" applyFill="1" applyBorder="1" applyAlignment="1" applyProtection="1">
      <alignment horizontal="right"/>
      <protection locked="0"/>
    </xf>
    <xf numFmtId="0" fontId="5" fillId="0" borderId="0" xfId="0" applyFont="1"/>
    <xf numFmtId="164" fontId="4" fillId="6" borderId="1" xfId="0" applyNumberFormat="1" applyFont="1" applyFill="1" applyBorder="1" applyAlignment="1" applyProtection="1">
      <alignment horizontal="right"/>
      <protection locked="0"/>
    </xf>
    <xf numFmtId="168" fontId="4" fillId="6" borderId="1" xfId="0" applyNumberFormat="1" applyFont="1" applyFill="1" applyBorder="1" applyAlignment="1" applyProtection="1">
      <alignment horizontal="right"/>
      <protection locked="0"/>
    </xf>
    <xf numFmtId="0" fontId="4" fillId="6" borderId="1" xfId="0" applyFont="1" applyFill="1" applyBorder="1" applyProtection="1">
      <protection locked="0"/>
    </xf>
    <xf numFmtId="0" fontId="1" fillId="7" borderId="0" xfId="0" applyFont="1" applyFill="1"/>
    <xf numFmtId="0" fontId="0" fillId="7" borderId="0" xfId="0" applyFill="1"/>
    <xf numFmtId="3" fontId="0" fillId="0" borderId="0" xfId="0" applyNumberFormat="1"/>
    <xf numFmtId="165" fontId="0" fillId="0" borderId="0" xfId="0" applyNumberFormat="1"/>
    <xf numFmtId="171" fontId="0" fillId="0" borderId="0" xfId="0" applyNumberFormat="1"/>
    <xf numFmtId="172" fontId="1" fillId="0" borderId="0" xfId="0" applyNumberFormat="1" applyFont="1"/>
    <xf numFmtId="0" fontId="1" fillId="3" borderId="0" xfId="0" applyFont="1" applyFill="1"/>
    <xf numFmtId="0" fontId="0" fillId="3" borderId="0" xfId="0" applyFill="1"/>
    <xf numFmtId="166" fontId="0" fillId="0" borderId="0" xfId="0" applyNumberFormat="1"/>
    <xf numFmtId="166" fontId="1" fillId="0" borderId="0" xfId="0" applyNumberFormat="1" applyFont="1"/>
    <xf numFmtId="169" fontId="0" fillId="0" borderId="0" xfId="0" applyNumberFormat="1"/>
    <xf numFmtId="173" fontId="6" fillId="0" borderId="0" xfId="0" applyNumberFormat="1" applyFont="1"/>
    <xf numFmtId="0" fontId="1" fillId="4" borderId="0" xfId="0" applyFont="1" applyFill="1"/>
    <xf numFmtId="0" fontId="0" fillId="4" borderId="0" xfId="0" applyFill="1"/>
    <xf numFmtId="0" fontId="1" fillId="5" borderId="0" xfId="0" applyFont="1" applyFill="1"/>
    <xf numFmtId="0" fontId="0" fillId="5" borderId="0" xfId="0" applyFill="1"/>
    <xf numFmtId="167" fontId="0" fillId="0" borderId="0" xfId="0" applyNumberFormat="1"/>
    <xf numFmtId="169" fontId="6" fillId="0" borderId="0" xfId="0" applyNumberFormat="1" applyFont="1"/>
    <xf numFmtId="174" fontId="1" fillId="0" borderId="0" xfId="0" applyNumberFormat="1" applyFont="1"/>
    <xf numFmtId="174" fontId="5" fillId="0" borderId="0" xfId="0" applyNumberFormat="1" applyFont="1"/>
    <xf numFmtId="0" fontId="17" fillId="0" borderId="0" xfId="0" applyFont="1"/>
    <xf numFmtId="177" fontId="15" fillId="8" borderId="0" xfId="0" applyNumberFormat="1" applyFont="1" applyFill="1"/>
    <xf numFmtId="176" fontId="5" fillId="0" borderId="0" xfId="0" applyNumberFormat="1" applyFont="1"/>
    <xf numFmtId="3" fontId="5" fillId="0" borderId="0" xfId="0" applyNumberFormat="1" applyFont="1"/>
    <xf numFmtId="0" fontId="16" fillId="0" borderId="0" xfId="0" applyFont="1"/>
    <xf numFmtId="166" fontId="17" fillId="0" borderId="0" xfId="0" applyNumberFormat="1" applyFont="1"/>
    <xf numFmtId="170" fontId="0" fillId="0" borderId="0" xfId="0" applyNumberFormat="1"/>
    <xf numFmtId="175" fontId="0" fillId="0" borderId="0" xfId="0" applyNumberFormat="1"/>
    <xf numFmtId="3" fontId="17" fillId="0" borderId="0" xfId="0" applyNumberFormat="1" applyFont="1"/>
    <xf numFmtId="3" fontId="17" fillId="9" borderId="1" xfId="0" applyNumberFormat="1" applyFont="1" applyFill="1" applyBorder="1" applyAlignment="1" applyProtection="1">
      <alignment horizontal="right"/>
      <protection locked="0"/>
    </xf>
    <xf numFmtId="0" fontId="0" fillId="0" borderId="0" xfId="0" applyAlignment="1">
      <alignment horizontal="left" vertical="top" wrapText="1"/>
    </xf>
    <xf numFmtId="0" fontId="4" fillId="0" borderId="0" xfId="0" applyFont="1" applyAlignment="1" applyProtection="1">
      <alignment horizontal="right"/>
      <protection locked="0"/>
    </xf>
    <xf numFmtId="0" fontId="9" fillId="0" borderId="0" xfId="0" applyFont="1" applyAlignment="1" applyProtection="1">
      <alignment horizontal="right"/>
      <protection locked="0"/>
    </xf>
  </cellXfs>
  <cellStyles count="1">
    <cellStyle name="Normaali" xfId="0" builtinId="0"/>
  </cellStyles>
  <dxfs count="3">
    <dxf>
      <font>
        <b/>
        <i val="0"/>
        <color rgb="FF9C0006"/>
      </font>
      <fill>
        <patternFill patternType="solid">
          <fgColor indexed="64"/>
          <bgColor rgb="FFFFC7CE"/>
        </patternFill>
      </fill>
    </dxf>
    <dxf>
      <font>
        <color rgb="FF9C0006"/>
      </font>
      <fill>
        <patternFill patternType="solid">
          <fgColor indexed="64"/>
          <bgColor rgb="FFFFC7CE"/>
        </patternFill>
      </fill>
    </dxf>
    <dxf>
      <font>
        <color rgb="FF006100"/>
      </font>
      <fill>
        <patternFill patternType="solid">
          <fgColor indexed="64"/>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te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CC08C34-0BD8-4468-A708-0940DB5D3903}">
  <we:reference id="29673e3c-d826-4f00-92ee-162334a52b1a" version="1.0.0.8" store="EXCatalog" storeType="EXCatalog"/>
  <we:alternateReferences>
    <we:reference id="WA200009404" version="1.0.0.8" store="fi-FI" storeType="OMEX"/>
  </we:alternateReferences>
  <we:properties>
    <we:property name="claude.fileId" value="&quot;8156d2c7-229d-44f5-aeda-bec381a76bab&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39923-C935-4350-9F7E-9BC38B21FDDF}">
  <dimension ref="A1:H30"/>
  <sheetViews>
    <sheetView tabSelected="1" workbookViewId="0">
      <selection activeCell="C36" sqref="C36"/>
    </sheetView>
  </sheetViews>
  <sheetFormatPr defaultRowHeight="15" x14ac:dyDescent="0.25"/>
  <cols>
    <col min="1" max="1" width="20.140625" customWidth="1"/>
    <col min="2" max="3" width="17.7109375" customWidth="1"/>
    <col min="4" max="4" width="13.5703125" customWidth="1"/>
  </cols>
  <sheetData>
    <row r="1" spans="1:8" x14ac:dyDescent="0.25">
      <c r="A1" s="54" t="s">
        <v>172</v>
      </c>
      <c r="B1" s="54"/>
      <c r="C1" s="54"/>
      <c r="D1" s="54"/>
      <c r="E1" s="54"/>
      <c r="F1" s="54"/>
      <c r="G1" s="54"/>
      <c r="H1" s="54"/>
    </row>
    <row r="2" spans="1:8" x14ac:dyDescent="0.25">
      <c r="A2" s="54"/>
      <c r="B2" s="54"/>
      <c r="C2" s="54"/>
      <c r="D2" s="54"/>
      <c r="E2" s="54"/>
      <c r="F2" s="54"/>
      <c r="G2" s="54"/>
      <c r="H2" s="54"/>
    </row>
    <row r="3" spans="1:8" x14ac:dyDescent="0.25">
      <c r="A3" s="54"/>
      <c r="B3" s="54"/>
      <c r="C3" s="54"/>
      <c r="D3" s="54"/>
      <c r="E3" s="54"/>
      <c r="F3" s="54"/>
      <c r="G3" s="54"/>
      <c r="H3" s="54"/>
    </row>
    <row r="4" spans="1:8" ht="15" customHeight="1" x14ac:dyDescent="0.25">
      <c r="A4" s="54"/>
      <c r="B4" s="54"/>
      <c r="C4" s="54"/>
      <c r="D4" s="54"/>
      <c r="E4" s="54"/>
      <c r="F4" s="54"/>
      <c r="G4" s="54"/>
      <c r="H4" s="54"/>
    </row>
    <row r="5" spans="1:8" x14ac:dyDescent="0.25">
      <c r="A5" s="54"/>
      <c r="B5" s="54"/>
      <c r="C5" s="54"/>
      <c r="D5" s="54"/>
      <c r="E5" s="54"/>
      <c r="F5" s="54"/>
      <c r="G5" s="54"/>
      <c r="H5" s="54"/>
    </row>
    <row r="6" spans="1:8" x14ac:dyDescent="0.25">
      <c r="A6" s="54"/>
      <c r="B6" s="54"/>
      <c r="C6" s="54"/>
      <c r="D6" s="54"/>
      <c r="E6" s="54"/>
      <c r="F6" s="54"/>
      <c r="G6" s="54"/>
      <c r="H6" s="54"/>
    </row>
    <row r="7" spans="1:8" x14ac:dyDescent="0.25">
      <c r="A7" s="54"/>
      <c r="B7" s="54"/>
      <c r="C7" s="54"/>
      <c r="D7" s="54"/>
      <c r="E7" s="54"/>
      <c r="F7" s="54"/>
      <c r="G7" s="54"/>
      <c r="H7" s="54"/>
    </row>
    <row r="8" spans="1:8" x14ac:dyDescent="0.25">
      <c r="A8" s="54"/>
      <c r="B8" s="54"/>
      <c r="C8" s="54"/>
      <c r="D8" s="54"/>
      <c r="E8" s="54"/>
      <c r="F8" s="54"/>
      <c r="G8" s="54"/>
      <c r="H8" s="54"/>
    </row>
    <row r="9" spans="1:8" x14ac:dyDescent="0.25">
      <c r="A9" s="54"/>
      <c r="B9" s="54"/>
      <c r="C9" s="54"/>
      <c r="D9" s="54"/>
      <c r="E9" s="54"/>
      <c r="F9" s="54"/>
      <c r="G9" s="54"/>
      <c r="H9" s="54"/>
    </row>
    <row r="10" spans="1:8" x14ac:dyDescent="0.25">
      <c r="A10" s="54"/>
      <c r="B10" s="54"/>
      <c r="C10" s="54"/>
      <c r="D10" s="54"/>
      <c r="E10" s="54"/>
      <c r="F10" s="54"/>
      <c r="G10" s="54"/>
      <c r="H10" s="54"/>
    </row>
    <row r="11" spans="1:8" x14ac:dyDescent="0.25">
      <c r="A11" s="54"/>
      <c r="B11" s="54"/>
      <c r="C11" s="54"/>
      <c r="D11" s="54"/>
      <c r="E11" s="54"/>
      <c r="F11" s="54"/>
      <c r="G11" s="54"/>
      <c r="H11" s="54"/>
    </row>
    <row r="12" spans="1:8" x14ac:dyDescent="0.25">
      <c r="A12" s="54"/>
      <c r="B12" s="54"/>
      <c r="C12" s="54"/>
      <c r="D12" s="54"/>
      <c r="E12" s="54"/>
      <c r="F12" s="54"/>
      <c r="G12" s="54"/>
      <c r="H12" s="54"/>
    </row>
    <row r="13" spans="1:8" x14ac:dyDescent="0.25">
      <c r="A13" s="54"/>
      <c r="B13" s="54"/>
      <c r="C13" s="54"/>
      <c r="D13" s="54"/>
      <c r="E13" s="54"/>
      <c r="F13" s="54"/>
      <c r="G13" s="54"/>
      <c r="H13" s="54"/>
    </row>
    <row r="14" spans="1:8" x14ac:dyDescent="0.25">
      <c r="A14" s="54"/>
      <c r="B14" s="54"/>
      <c r="C14" s="54"/>
      <c r="D14" s="54"/>
      <c r="E14" s="54"/>
      <c r="F14" s="54"/>
      <c r="G14" s="54"/>
      <c r="H14" s="54"/>
    </row>
    <row r="15" spans="1:8" x14ac:dyDescent="0.25">
      <c r="A15" s="54"/>
      <c r="B15" s="54"/>
      <c r="C15" s="54"/>
      <c r="D15" s="54"/>
      <c r="E15" s="54"/>
      <c r="F15" s="54"/>
      <c r="G15" s="54"/>
      <c r="H15" s="54"/>
    </row>
    <row r="16" spans="1:8" x14ac:dyDescent="0.25">
      <c r="A16" s="54"/>
      <c r="B16" s="54"/>
      <c r="C16" s="54"/>
      <c r="D16" s="54"/>
      <c r="E16" s="54"/>
      <c r="F16" s="54"/>
      <c r="G16" s="54"/>
      <c r="H16" s="54"/>
    </row>
    <row r="17" spans="1:8" x14ac:dyDescent="0.25">
      <c r="A17" s="54"/>
      <c r="B17" s="54"/>
      <c r="C17" s="54"/>
      <c r="D17" s="54"/>
      <c r="E17" s="54"/>
      <c r="F17" s="54"/>
      <c r="G17" s="54"/>
      <c r="H17" s="54"/>
    </row>
    <row r="18" spans="1:8" x14ac:dyDescent="0.25">
      <c r="A18" s="54"/>
      <c r="B18" s="54"/>
      <c r="C18" s="54"/>
      <c r="D18" s="54"/>
      <c r="E18" s="54"/>
      <c r="F18" s="54"/>
      <c r="G18" s="54"/>
      <c r="H18" s="54"/>
    </row>
    <row r="19" spans="1:8" x14ac:dyDescent="0.25">
      <c r="A19" s="54"/>
      <c r="B19" s="54"/>
      <c r="C19" s="54"/>
      <c r="D19" s="54"/>
      <c r="E19" s="54"/>
      <c r="F19" s="54"/>
      <c r="G19" s="54"/>
      <c r="H19" s="54"/>
    </row>
    <row r="20" spans="1:8" x14ac:dyDescent="0.25">
      <c r="A20" s="54"/>
      <c r="B20" s="54"/>
      <c r="C20" s="54"/>
      <c r="D20" s="54"/>
      <c r="E20" s="54"/>
      <c r="F20" s="54"/>
      <c r="G20" s="54"/>
      <c r="H20" s="54"/>
    </row>
    <row r="21" spans="1:8" x14ac:dyDescent="0.25">
      <c r="A21" s="54"/>
      <c r="B21" s="54"/>
      <c r="C21" s="54"/>
      <c r="D21" s="54"/>
      <c r="E21" s="54"/>
      <c r="F21" s="54"/>
      <c r="G21" s="54"/>
      <c r="H21" s="54"/>
    </row>
    <row r="22" spans="1:8" x14ac:dyDescent="0.25">
      <c r="A22" s="54"/>
      <c r="B22" s="54"/>
      <c r="C22" s="54"/>
      <c r="D22" s="54"/>
      <c r="E22" s="54"/>
      <c r="F22" s="54"/>
      <c r="G22" s="54"/>
      <c r="H22" s="54"/>
    </row>
    <row r="23" spans="1:8" x14ac:dyDescent="0.25">
      <c r="A23" s="54"/>
      <c r="B23" s="54"/>
      <c r="C23" s="54"/>
      <c r="D23" s="54"/>
      <c r="E23" s="54"/>
      <c r="F23" s="54"/>
      <c r="G23" s="54"/>
      <c r="H23" s="54"/>
    </row>
    <row r="24" spans="1:8" x14ac:dyDescent="0.25">
      <c r="A24" s="54"/>
      <c r="B24" s="54"/>
      <c r="C24" s="54"/>
      <c r="D24" s="54"/>
      <c r="E24" s="54"/>
      <c r="F24" s="54"/>
      <c r="G24" s="54"/>
      <c r="H24" s="54"/>
    </row>
    <row r="25" spans="1:8" x14ac:dyDescent="0.25">
      <c r="A25" s="54"/>
      <c r="B25" s="54"/>
      <c r="C25" s="54"/>
      <c r="D25" s="54"/>
      <c r="E25" s="54"/>
      <c r="F25" s="54"/>
      <c r="G25" s="54"/>
      <c r="H25" s="54"/>
    </row>
    <row r="26" spans="1:8" x14ac:dyDescent="0.25">
      <c r="A26" s="54"/>
      <c r="B26" s="54"/>
      <c r="C26" s="54"/>
      <c r="D26" s="54"/>
      <c r="E26" s="54"/>
      <c r="F26" s="54"/>
      <c r="G26" s="54"/>
      <c r="H26" s="54"/>
    </row>
    <row r="27" spans="1:8" x14ac:dyDescent="0.25">
      <c r="A27" s="54"/>
      <c r="B27" s="54"/>
      <c r="C27" s="54"/>
      <c r="D27" s="54"/>
      <c r="E27" s="54"/>
      <c r="F27" s="54"/>
      <c r="G27" s="54"/>
      <c r="H27" s="54"/>
    </row>
    <row r="28" spans="1:8" x14ac:dyDescent="0.25">
      <c r="A28" s="54"/>
      <c r="B28" s="54"/>
      <c r="C28" s="54"/>
      <c r="D28" s="54"/>
      <c r="E28" s="54"/>
      <c r="F28" s="54"/>
      <c r="G28" s="54"/>
      <c r="H28" s="54"/>
    </row>
    <row r="29" spans="1:8" x14ac:dyDescent="0.25">
      <c r="A29" s="54"/>
      <c r="B29" s="54"/>
      <c r="C29" s="54"/>
      <c r="D29" s="54"/>
      <c r="E29" s="54"/>
      <c r="F29" s="54"/>
      <c r="G29" s="54"/>
      <c r="H29" s="54"/>
    </row>
    <row r="30" spans="1:8" x14ac:dyDescent="0.25">
      <c r="A30" s="54"/>
      <c r="B30" s="54"/>
      <c r="C30" s="54"/>
      <c r="D30" s="54"/>
      <c r="E30" s="54"/>
      <c r="F30" s="54"/>
      <c r="G30" s="54"/>
      <c r="H30" s="54"/>
    </row>
  </sheetData>
  <sheetProtection sheet="1" objects="1" scenarios="1"/>
  <mergeCells count="1">
    <mergeCell ref="A1:H3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57B55-8F13-4541-9C34-A6F508600DF7}">
  <dimension ref="A1:G20"/>
  <sheetViews>
    <sheetView workbookViewId="0">
      <selection activeCell="F31" sqref="F31"/>
    </sheetView>
  </sheetViews>
  <sheetFormatPr defaultRowHeight="15" x14ac:dyDescent="0.25"/>
  <cols>
    <col min="1" max="2" width="18.7109375" customWidth="1"/>
    <col min="5" max="5" width="18.7109375" customWidth="1"/>
  </cols>
  <sheetData>
    <row r="1" spans="1:7" x14ac:dyDescent="0.25">
      <c r="A1" t="s">
        <v>103</v>
      </c>
    </row>
    <row r="3" spans="1:7" x14ac:dyDescent="0.25">
      <c r="A3" s="1" t="s">
        <v>104</v>
      </c>
      <c r="B3" s="1" t="s">
        <v>105</v>
      </c>
      <c r="C3" s="2" t="s">
        <v>106</v>
      </c>
      <c r="D3" s="2" t="s">
        <v>107</v>
      </c>
      <c r="E3" s="1" t="s">
        <v>108</v>
      </c>
      <c r="F3" s="2" t="s">
        <v>109</v>
      </c>
      <c r="G3" s="2" t="s">
        <v>107</v>
      </c>
    </row>
    <row r="4" spans="1:7" x14ac:dyDescent="0.25">
      <c r="A4" s="3" t="s">
        <v>110</v>
      </c>
      <c r="B4" s="3" t="s">
        <v>132</v>
      </c>
      <c r="C4" s="4">
        <v>1.25</v>
      </c>
      <c r="D4" s="4">
        <f>+C4/1.135</f>
        <v>1.1013215859030836</v>
      </c>
      <c r="E4" s="3" t="s">
        <v>99</v>
      </c>
      <c r="F4" s="4">
        <v>1.29</v>
      </c>
      <c r="G4" s="4">
        <f>+F4/1.135</f>
        <v>1.1365638766519823</v>
      </c>
    </row>
    <row r="5" spans="1:7" x14ac:dyDescent="0.25">
      <c r="A5" s="3" t="s">
        <v>111</v>
      </c>
      <c r="B5" s="3" t="s">
        <v>86</v>
      </c>
      <c r="C5" s="4">
        <v>1.35</v>
      </c>
      <c r="D5" s="4">
        <f t="shared" ref="D5:D20" si="0">+C5/1.135</f>
        <v>1.1894273127753305</v>
      </c>
      <c r="E5" s="3" t="s">
        <v>132</v>
      </c>
      <c r="F5" s="4">
        <v>1.36</v>
      </c>
      <c r="G5" s="4">
        <f t="shared" ref="G5:G20" si="1">+F5/1.135</f>
        <v>1.1982378854625551</v>
      </c>
    </row>
    <row r="6" spans="1:7" x14ac:dyDescent="0.25">
      <c r="A6" s="3" t="s">
        <v>112</v>
      </c>
      <c r="B6" s="3" t="s">
        <v>113</v>
      </c>
      <c r="C6" s="4">
        <v>1.32</v>
      </c>
      <c r="D6" s="4">
        <f t="shared" si="0"/>
        <v>1.1629955947136565</v>
      </c>
      <c r="E6" s="3" t="s">
        <v>114</v>
      </c>
      <c r="F6" s="4">
        <v>1.4</v>
      </c>
      <c r="G6" s="4">
        <f t="shared" si="1"/>
        <v>1.2334801762114536</v>
      </c>
    </row>
    <row r="7" spans="1:7" x14ac:dyDescent="0.25">
      <c r="A7" s="3" t="s">
        <v>115</v>
      </c>
      <c r="B7" s="3" t="s">
        <v>116</v>
      </c>
      <c r="C7" s="4">
        <v>1.33</v>
      </c>
      <c r="D7" s="4">
        <f t="shared" si="0"/>
        <v>1.1718061674008811</v>
      </c>
      <c r="E7" s="3" t="s">
        <v>113</v>
      </c>
      <c r="F7" s="4">
        <v>1.4</v>
      </c>
      <c r="G7" s="4">
        <f t="shared" si="1"/>
        <v>1.2334801762114536</v>
      </c>
    </row>
    <row r="8" spans="1:7" x14ac:dyDescent="0.25">
      <c r="A8" s="3" t="s">
        <v>117</v>
      </c>
      <c r="B8" s="3" t="s">
        <v>116</v>
      </c>
      <c r="C8" s="4">
        <v>1.33</v>
      </c>
      <c r="D8" s="4">
        <f t="shared" si="0"/>
        <v>1.1718061674008811</v>
      </c>
      <c r="E8" s="3" t="s">
        <v>86</v>
      </c>
      <c r="F8" s="4">
        <v>1.39</v>
      </c>
      <c r="G8" s="4">
        <f t="shared" si="1"/>
        <v>1.224669603524229</v>
      </c>
    </row>
    <row r="9" spans="1:7" x14ac:dyDescent="0.25">
      <c r="A9" s="3" t="s">
        <v>118</v>
      </c>
      <c r="B9" s="3" t="s">
        <v>86</v>
      </c>
      <c r="C9" s="4">
        <v>1.45</v>
      </c>
      <c r="D9" s="4">
        <f t="shared" si="0"/>
        <v>1.277533039647577</v>
      </c>
      <c r="E9" s="3" t="s">
        <v>99</v>
      </c>
      <c r="F9" s="4">
        <v>1.56</v>
      </c>
      <c r="G9" s="4">
        <f t="shared" si="1"/>
        <v>1.3744493392070485</v>
      </c>
    </row>
    <row r="10" spans="1:7" x14ac:dyDescent="0.25">
      <c r="A10" s="3" t="s">
        <v>119</v>
      </c>
      <c r="B10" s="3" t="s">
        <v>113</v>
      </c>
      <c r="C10" s="4">
        <v>1.38</v>
      </c>
      <c r="D10" s="4">
        <f t="shared" si="0"/>
        <v>1.2158590308370043</v>
      </c>
      <c r="E10" s="3" t="s">
        <v>132</v>
      </c>
      <c r="F10" s="4">
        <v>1.46</v>
      </c>
      <c r="G10" s="4">
        <f t="shared" si="1"/>
        <v>1.2863436123348018</v>
      </c>
    </row>
    <row r="11" spans="1:7" x14ac:dyDescent="0.25">
      <c r="A11" s="3" t="s">
        <v>120</v>
      </c>
      <c r="B11" s="3" t="s">
        <v>121</v>
      </c>
      <c r="C11" s="4">
        <v>1.32</v>
      </c>
      <c r="D11" s="4">
        <f t="shared" si="0"/>
        <v>1.1629955947136565</v>
      </c>
      <c r="E11" s="3" t="s">
        <v>86</v>
      </c>
      <c r="F11" s="4">
        <v>1.41</v>
      </c>
      <c r="G11" s="4">
        <f t="shared" si="1"/>
        <v>1.2422907488986783</v>
      </c>
    </row>
    <row r="12" spans="1:7" x14ac:dyDescent="0.25">
      <c r="A12" s="3" t="s">
        <v>122</v>
      </c>
      <c r="B12" s="3" t="s">
        <v>132</v>
      </c>
      <c r="C12" s="4">
        <v>1.36</v>
      </c>
      <c r="D12" s="4">
        <f t="shared" si="0"/>
        <v>1.1982378854625551</v>
      </c>
      <c r="E12" s="3" t="s">
        <v>99</v>
      </c>
      <c r="F12" s="4">
        <v>1.39</v>
      </c>
      <c r="G12" s="4">
        <f t="shared" si="1"/>
        <v>1.224669603524229</v>
      </c>
    </row>
    <row r="13" spans="1:7" x14ac:dyDescent="0.25">
      <c r="A13" s="3" t="s">
        <v>102</v>
      </c>
      <c r="B13" s="3" t="s">
        <v>86</v>
      </c>
      <c r="C13" s="4">
        <v>1.32</v>
      </c>
      <c r="D13" s="4">
        <f t="shared" si="0"/>
        <v>1.1629955947136565</v>
      </c>
      <c r="E13" s="3" t="s">
        <v>99</v>
      </c>
      <c r="F13" s="4">
        <v>1.33</v>
      </c>
      <c r="G13" s="4">
        <f t="shared" si="1"/>
        <v>1.1718061674008811</v>
      </c>
    </row>
    <row r="14" spans="1:7" x14ac:dyDescent="0.25">
      <c r="A14" s="3" t="s">
        <v>123</v>
      </c>
      <c r="B14" s="3" t="s">
        <v>124</v>
      </c>
      <c r="C14" s="4">
        <v>1.38</v>
      </c>
      <c r="D14" s="4">
        <f t="shared" si="0"/>
        <v>1.2158590308370043</v>
      </c>
      <c r="E14" s="3" t="s">
        <v>113</v>
      </c>
      <c r="F14" s="4">
        <v>1.4</v>
      </c>
      <c r="G14" s="4">
        <f t="shared" si="1"/>
        <v>1.2334801762114536</v>
      </c>
    </row>
    <row r="15" spans="1:7" x14ac:dyDescent="0.25">
      <c r="A15" s="3" t="s">
        <v>125</v>
      </c>
      <c r="B15" s="3" t="s">
        <v>114</v>
      </c>
      <c r="C15" s="4">
        <v>1.3</v>
      </c>
      <c r="D15" s="4">
        <f t="shared" si="0"/>
        <v>1.1453744493392071</v>
      </c>
      <c r="E15" s="3" t="s">
        <v>86</v>
      </c>
      <c r="F15" s="4">
        <v>1.32</v>
      </c>
      <c r="G15" s="4">
        <f t="shared" si="1"/>
        <v>1.1629955947136565</v>
      </c>
    </row>
    <row r="16" spans="1:7" x14ac:dyDescent="0.25">
      <c r="A16" s="3" t="s">
        <v>126</v>
      </c>
      <c r="B16" s="3" t="s">
        <v>99</v>
      </c>
      <c r="C16" s="4">
        <v>1.52</v>
      </c>
      <c r="D16" s="4">
        <f t="shared" si="0"/>
        <v>1.3392070484581498</v>
      </c>
      <c r="E16" s="3" t="s">
        <v>127</v>
      </c>
      <c r="F16" s="4">
        <v>1.58</v>
      </c>
      <c r="G16" s="4">
        <f t="shared" si="1"/>
        <v>1.392070484581498</v>
      </c>
    </row>
    <row r="17" spans="1:7" x14ac:dyDescent="0.25">
      <c r="A17" s="3" t="s">
        <v>128</v>
      </c>
      <c r="B17" s="3" t="s">
        <v>86</v>
      </c>
      <c r="C17" s="4">
        <v>1.33</v>
      </c>
      <c r="D17" s="4">
        <f t="shared" si="0"/>
        <v>1.1718061674008811</v>
      </c>
      <c r="E17" s="3" t="s">
        <v>116</v>
      </c>
      <c r="F17" s="4">
        <v>1.33</v>
      </c>
      <c r="G17" s="4">
        <f t="shared" si="1"/>
        <v>1.1718061674008811</v>
      </c>
    </row>
    <row r="18" spans="1:7" x14ac:dyDescent="0.25">
      <c r="A18" s="3" t="s">
        <v>129</v>
      </c>
      <c r="B18" s="3" t="s">
        <v>86</v>
      </c>
      <c r="C18" s="4">
        <v>1.37</v>
      </c>
      <c r="D18" s="4">
        <f t="shared" si="0"/>
        <v>1.2070484581497798</v>
      </c>
      <c r="E18" s="3" t="s">
        <v>114</v>
      </c>
      <c r="F18" s="4">
        <v>1.4</v>
      </c>
      <c r="G18" s="4">
        <f t="shared" si="1"/>
        <v>1.2334801762114536</v>
      </c>
    </row>
    <row r="19" spans="1:7" x14ac:dyDescent="0.25">
      <c r="A19" s="3" t="s">
        <v>130</v>
      </c>
      <c r="B19" s="3" t="s">
        <v>86</v>
      </c>
      <c r="C19" s="4">
        <v>1.39</v>
      </c>
      <c r="D19" s="4">
        <f t="shared" si="0"/>
        <v>1.224669603524229</v>
      </c>
      <c r="E19" s="3" t="s">
        <v>114</v>
      </c>
      <c r="F19" s="4">
        <v>1.42</v>
      </c>
      <c r="G19" s="4">
        <f t="shared" si="1"/>
        <v>1.251101321585903</v>
      </c>
    </row>
    <row r="20" spans="1:7" x14ac:dyDescent="0.25">
      <c r="A20" s="3" t="s">
        <v>131</v>
      </c>
      <c r="B20" s="3" t="s">
        <v>132</v>
      </c>
      <c r="C20" s="4">
        <v>1.4</v>
      </c>
      <c r="D20" s="4">
        <f t="shared" si="0"/>
        <v>1.2334801762114536</v>
      </c>
      <c r="E20" s="3" t="s">
        <v>86</v>
      </c>
      <c r="F20" s="4">
        <v>1.45</v>
      </c>
      <c r="G20" s="4">
        <f t="shared" si="1"/>
        <v>1.277533039647577</v>
      </c>
    </row>
  </sheetData>
  <sheetProtection sheet="1" objects="1" scenarios="1" autoFilter="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16A25-23B2-46AC-9F68-99701940E206}">
  <dimension ref="A1:J31"/>
  <sheetViews>
    <sheetView workbookViewId="0">
      <selection activeCell="G37" sqref="G37"/>
    </sheetView>
  </sheetViews>
  <sheetFormatPr defaultRowHeight="15" x14ac:dyDescent="0.25"/>
  <cols>
    <col min="1" max="1" width="42" customWidth="1"/>
  </cols>
  <sheetData>
    <row r="1" spans="1:10" x14ac:dyDescent="0.25">
      <c r="A1" s="1" t="s">
        <v>0</v>
      </c>
      <c r="B1" s="55" t="s">
        <v>99</v>
      </c>
      <c r="D1" s="56" t="s">
        <v>86</v>
      </c>
      <c r="H1" s="5" t="s">
        <v>89</v>
      </c>
    </row>
    <row r="2" spans="1:10" x14ac:dyDescent="0.25">
      <c r="A2" s="6" t="s">
        <v>133</v>
      </c>
      <c r="B2" s="7" t="s">
        <v>77</v>
      </c>
      <c r="D2" s="7" t="s">
        <v>88</v>
      </c>
      <c r="H2" s="8" t="str">
        <f>Laskuri!$B$5</f>
        <v>K-S MYK</v>
      </c>
    </row>
    <row r="3" spans="1:10" x14ac:dyDescent="0.25">
      <c r="A3" s="1" t="s">
        <v>1</v>
      </c>
    </row>
    <row r="4" spans="1:10" x14ac:dyDescent="0.25">
      <c r="A4" s="1" t="s">
        <v>2</v>
      </c>
      <c r="I4" s="5" t="s">
        <v>90</v>
      </c>
      <c r="J4" s="5" t="s">
        <v>91</v>
      </c>
    </row>
    <row r="5" spans="1:10" x14ac:dyDescent="0.25">
      <c r="A5" t="s">
        <v>145</v>
      </c>
      <c r="B5" s="9">
        <v>1.17</v>
      </c>
      <c r="C5" s="9"/>
      <c r="D5" s="9">
        <v>1.1599999999999999</v>
      </c>
      <c r="E5" s="9"/>
      <c r="I5">
        <f t="shared" ref="I5:I10" si="0">IF($H$2=$B$1,B5,D5)</f>
        <v>1.17</v>
      </c>
    </row>
    <row r="6" spans="1:10" x14ac:dyDescent="0.25">
      <c r="A6" t="s">
        <v>146</v>
      </c>
      <c r="B6" s="9">
        <v>1.5</v>
      </c>
      <c r="C6" s="9"/>
      <c r="D6" s="9">
        <v>0</v>
      </c>
      <c r="E6" s="9"/>
      <c r="I6">
        <f t="shared" si="0"/>
        <v>1.5</v>
      </c>
    </row>
    <row r="7" spans="1:10" x14ac:dyDescent="0.25">
      <c r="A7" t="s">
        <v>3</v>
      </c>
      <c r="B7" s="9">
        <v>4.28</v>
      </c>
      <c r="C7" s="9"/>
      <c r="D7" s="9">
        <v>0</v>
      </c>
      <c r="E7" s="9"/>
      <c r="I7">
        <f t="shared" si="0"/>
        <v>4.28</v>
      </c>
    </row>
    <row r="8" spans="1:10" x14ac:dyDescent="0.25">
      <c r="A8" t="s">
        <v>142</v>
      </c>
      <c r="B8" s="9">
        <v>34.159999999999997</v>
      </c>
      <c r="C8" s="9"/>
      <c r="D8" s="9">
        <v>0</v>
      </c>
      <c r="E8" s="9"/>
      <c r="I8">
        <f t="shared" si="0"/>
        <v>34.159999999999997</v>
      </c>
    </row>
    <row r="9" spans="1:10" x14ac:dyDescent="0.25">
      <c r="A9" t="s">
        <v>143</v>
      </c>
      <c r="B9" s="9">
        <v>11.4</v>
      </c>
      <c r="C9" s="9"/>
      <c r="D9" s="9">
        <v>0</v>
      </c>
      <c r="E9" s="9"/>
      <c r="I9">
        <f t="shared" si="0"/>
        <v>11.4</v>
      </c>
    </row>
    <row r="10" spans="1:10" x14ac:dyDescent="0.25">
      <c r="A10" t="s">
        <v>144</v>
      </c>
      <c r="B10" s="9">
        <v>21.85</v>
      </c>
      <c r="C10" s="9"/>
      <c r="D10" s="9">
        <v>0</v>
      </c>
      <c r="E10" s="9"/>
      <c r="I10">
        <f t="shared" si="0"/>
        <v>21.85</v>
      </c>
    </row>
    <row r="11" spans="1:10" x14ac:dyDescent="0.25">
      <c r="A11" s="1" t="s">
        <v>4</v>
      </c>
      <c r="B11" s="9"/>
      <c r="C11" s="9"/>
      <c r="D11" s="9"/>
      <c r="E11" s="9"/>
    </row>
    <row r="12" spans="1:10" x14ac:dyDescent="0.25">
      <c r="A12" t="s">
        <v>173</v>
      </c>
      <c r="B12" s="9">
        <v>125</v>
      </c>
      <c r="C12" s="9"/>
      <c r="D12" s="9">
        <v>0</v>
      </c>
      <c r="E12" s="9"/>
      <c r="I12">
        <f t="shared" ref="I12:I18" si="1">IF($H$2=$B$1,B12,D12)</f>
        <v>125</v>
      </c>
    </row>
    <row r="13" spans="1:10" x14ac:dyDescent="0.25">
      <c r="A13" t="s">
        <v>174</v>
      </c>
      <c r="B13" s="9">
        <v>200</v>
      </c>
      <c r="C13" s="9"/>
      <c r="D13" s="9">
        <v>0</v>
      </c>
      <c r="E13" s="9"/>
      <c r="I13">
        <f t="shared" si="1"/>
        <v>200</v>
      </c>
    </row>
    <row r="14" spans="1:10" x14ac:dyDescent="0.25">
      <c r="A14" t="s">
        <v>175</v>
      </c>
      <c r="B14" s="9">
        <v>250</v>
      </c>
      <c r="C14" s="9"/>
      <c r="D14" s="9">
        <v>0</v>
      </c>
      <c r="E14" s="9"/>
      <c r="I14">
        <f t="shared" si="1"/>
        <v>250</v>
      </c>
    </row>
    <row r="15" spans="1:10" x14ac:dyDescent="0.25">
      <c r="A15" t="s">
        <v>176</v>
      </c>
      <c r="B15" s="9">
        <v>250</v>
      </c>
      <c r="C15" s="9"/>
      <c r="D15" s="9">
        <v>0</v>
      </c>
      <c r="E15" s="9"/>
      <c r="I15">
        <f t="shared" si="1"/>
        <v>250</v>
      </c>
    </row>
    <row r="16" spans="1:10" x14ac:dyDescent="0.25">
      <c r="A16" t="s">
        <v>177</v>
      </c>
      <c r="B16" s="9">
        <v>400</v>
      </c>
      <c r="C16" s="9"/>
      <c r="D16" s="9">
        <v>0</v>
      </c>
      <c r="E16" s="9"/>
      <c r="I16">
        <f t="shared" si="1"/>
        <v>400</v>
      </c>
    </row>
    <row r="17" spans="1:10" x14ac:dyDescent="0.25">
      <c r="A17" t="s">
        <v>178</v>
      </c>
      <c r="B17" s="9">
        <v>500</v>
      </c>
      <c r="C17" s="9"/>
      <c r="D17" s="9">
        <v>0</v>
      </c>
      <c r="E17" s="9"/>
      <c r="I17">
        <f t="shared" si="1"/>
        <v>500</v>
      </c>
    </row>
    <row r="18" spans="1:10" x14ac:dyDescent="0.25">
      <c r="A18" t="s">
        <v>5</v>
      </c>
      <c r="B18" s="9">
        <v>423</v>
      </c>
      <c r="C18" s="9"/>
      <c r="D18" s="9">
        <v>0</v>
      </c>
      <c r="E18" s="9"/>
      <c r="I18">
        <f t="shared" si="1"/>
        <v>423</v>
      </c>
    </row>
    <row r="19" spans="1:10" x14ac:dyDescent="0.25">
      <c r="A19" s="1" t="s">
        <v>6</v>
      </c>
      <c r="B19" s="9"/>
      <c r="C19" s="9"/>
      <c r="D19" s="9"/>
      <c r="E19" s="9"/>
    </row>
    <row r="20" spans="1:10" x14ac:dyDescent="0.25">
      <c r="A20" t="s">
        <v>7</v>
      </c>
      <c r="B20" s="9">
        <v>8.9</v>
      </c>
      <c r="C20" s="9"/>
      <c r="D20" s="9">
        <v>0</v>
      </c>
      <c r="E20" s="9"/>
      <c r="I20">
        <f t="shared" ref="I20:I26" si="2">IF($H$2=$B$1,B20,D20)</f>
        <v>8.9</v>
      </c>
    </row>
    <row r="21" spans="1:10" x14ac:dyDescent="0.25">
      <c r="A21" t="s">
        <v>8</v>
      </c>
      <c r="B21" s="9">
        <v>18.8</v>
      </c>
      <c r="C21" s="9"/>
      <c r="D21" s="9">
        <v>0</v>
      </c>
      <c r="E21" s="9"/>
      <c r="I21">
        <f t="shared" si="2"/>
        <v>18.8</v>
      </c>
    </row>
    <row r="22" spans="1:10" x14ac:dyDescent="0.25">
      <c r="A22" t="s">
        <v>9</v>
      </c>
      <c r="B22" s="9">
        <v>39</v>
      </c>
      <c r="C22" s="9">
        <v>8.25</v>
      </c>
      <c r="D22" s="9">
        <v>0</v>
      </c>
      <c r="E22" s="9">
        <v>0</v>
      </c>
      <c r="I22">
        <f t="shared" si="2"/>
        <v>39</v>
      </c>
      <c r="J22">
        <f>IF($H$2=$B$1,C22,E22)</f>
        <v>8.25</v>
      </c>
    </row>
    <row r="23" spans="1:10" x14ac:dyDescent="0.25">
      <c r="A23" t="s">
        <v>10</v>
      </c>
      <c r="B23" s="9">
        <v>69</v>
      </c>
      <c r="C23" s="9">
        <v>6.25</v>
      </c>
      <c r="D23" s="9">
        <v>0</v>
      </c>
      <c r="E23" s="9">
        <v>0</v>
      </c>
      <c r="I23">
        <f t="shared" si="2"/>
        <v>69</v>
      </c>
      <c r="J23">
        <f>IF($H$2=$B$1,C23,E23)</f>
        <v>6.25</v>
      </c>
    </row>
    <row r="24" spans="1:10" x14ac:dyDescent="0.25">
      <c r="A24" t="s">
        <v>11</v>
      </c>
      <c r="B24" s="9">
        <v>99</v>
      </c>
      <c r="C24" s="9">
        <v>4.1500000000000004</v>
      </c>
      <c r="D24" s="9">
        <v>0</v>
      </c>
      <c r="E24" s="9">
        <v>0</v>
      </c>
      <c r="I24">
        <f t="shared" si="2"/>
        <v>99</v>
      </c>
      <c r="J24">
        <f>IF($H$2=$B$1,C24,E24)</f>
        <v>4.1500000000000004</v>
      </c>
    </row>
    <row r="25" spans="1:10" x14ac:dyDescent="0.25">
      <c r="A25" t="s">
        <v>12</v>
      </c>
      <c r="B25" s="9">
        <v>0</v>
      </c>
      <c r="C25" s="9">
        <v>15</v>
      </c>
      <c r="D25" s="9">
        <v>0</v>
      </c>
      <c r="E25" s="9">
        <v>0</v>
      </c>
      <c r="I25">
        <f t="shared" si="2"/>
        <v>0</v>
      </c>
      <c r="J25">
        <f>IF($H$2=$B$1,C25,E25)</f>
        <v>15</v>
      </c>
    </row>
    <row r="26" spans="1:10" x14ac:dyDescent="0.25">
      <c r="A26" s="6" t="s">
        <v>81</v>
      </c>
      <c r="B26" s="7">
        <v>0</v>
      </c>
      <c r="C26" s="7">
        <v>6</v>
      </c>
      <c r="D26" s="7">
        <v>0</v>
      </c>
      <c r="E26" s="7">
        <v>0</v>
      </c>
      <c r="F26" s="6"/>
      <c r="I26">
        <f t="shared" si="2"/>
        <v>0</v>
      </c>
      <c r="J26">
        <f>IF($H$2=$B$1,C26,E26)</f>
        <v>6</v>
      </c>
    </row>
    <row r="28" spans="1:10" x14ac:dyDescent="0.25">
      <c r="A28" s="5" t="s">
        <v>92</v>
      </c>
    </row>
    <row r="29" spans="1:10" x14ac:dyDescent="0.25">
      <c r="A29" s="5" t="s">
        <v>84</v>
      </c>
      <c r="B29" s="5" t="s">
        <v>87</v>
      </c>
      <c r="C29" s="5" t="s">
        <v>93</v>
      </c>
    </row>
    <row r="30" spans="1:10" x14ac:dyDescent="0.25">
      <c r="A30" t="str">
        <f>B1</f>
        <v>K-S MYK</v>
      </c>
      <c r="B30" t="str">
        <f>B2</f>
        <v>Kyllä</v>
      </c>
      <c r="C30" t="str" cm="1">
        <f t="array" ref="C30">_xlfn._xlws.FILTER(A30:A31,B30:B31="Kyllä","")</f>
        <v>K-S MYK</v>
      </c>
    </row>
    <row r="31" spans="1:10" x14ac:dyDescent="0.25">
      <c r="A31" t="str">
        <f>D1</f>
        <v>Konnektio</v>
      </c>
      <c r="B31" t="str">
        <f>D2</f>
        <v>Ei</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D1AA4-9968-4C06-A5C3-744921ABB4D3}">
  <dimension ref="A1:D18"/>
  <sheetViews>
    <sheetView workbookViewId="0">
      <selection activeCell="J12" sqref="J12"/>
    </sheetView>
  </sheetViews>
  <sheetFormatPr defaultRowHeight="15" x14ac:dyDescent="0.25"/>
  <cols>
    <col min="1" max="1" width="28.28515625" customWidth="1"/>
  </cols>
  <sheetData>
    <row r="1" spans="1:4" x14ac:dyDescent="0.25">
      <c r="A1" s="5" t="s">
        <v>13</v>
      </c>
    </row>
    <row r="2" spans="1:4" x14ac:dyDescent="0.25">
      <c r="A2" s="6" t="s">
        <v>14</v>
      </c>
      <c r="B2" s="6">
        <v>36</v>
      </c>
    </row>
    <row r="3" spans="1:4" x14ac:dyDescent="0.25">
      <c r="A3" s="6" t="s">
        <v>78</v>
      </c>
      <c r="B3" s="7">
        <v>38</v>
      </c>
    </row>
    <row r="4" spans="1:4" x14ac:dyDescent="0.25">
      <c r="A4" s="6" t="s">
        <v>79</v>
      </c>
      <c r="B4" s="7">
        <v>11.5</v>
      </c>
    </row>
    <row r="5" spans="1:4" x14ac:dyDescent="0.25">
      <c r="A5" s="6" t="s">
        <v>80</v>
      </c>
      <c r="B5" s="7">
        <v>25</v>
      </c>
    </row>
    <row r="6" spans="1:4" x14ac:dyDescent="0.25">
      <c r="A6" s="6" t="s">
        <v>15</v>
      </c>
      <c r="B6" s="10">
        <f>B3*(1+B4/100)*(1+B5/100)</f>
        <v>52.962499999999999</v>
      </c>
      <c r="C6" s="11" t="s">
        <v>16</v>
      </c>
    </row>
    <row r="7" spans="1:4" x14ac:dyDescent="0.25">
      <c r="A7" s="6" t="s">
        <v>17</v>
      </c>
      <c r="B7" s="7">
        <v>0.3</v>
      </c>
    </row>
    <row r="8" spans="1:4" x14ac:dyDescent="0.25">
      <c r="A8" s="6" t="s">
        <v>18</v>
      </c>
      <c r="B8" s="7">
        <v>30</v>
      </c>
    </row>
    <row r="9" spans="1:4" x14ac:dyDescent="0.25">
      <c r="A9" s="6" t="s">
        <v>19</v>
      </c>
      <c r="B9" s="7">
        <v>60</v>
      </c>
    </row>
    <row r="10" spans="1:4" x14ac:dyDescent="0.25">
      <c r="A10" s="6" t="s">
        <v>20</v>
      </c>
      <c r="B10" s="7">
        <v>80</v>
      </c>
    </row>
    <row r="12" spans="1:4" x14ac:dyDescent="0.25">
      <c r="A12" s="5" t="s">
        <v>165</v>
      </c>
      <c r="C12" s="11" t="s">
        <v>167</v>
      </c>
    </row>
    <row r="13" spans="1:4" x14ac:dyDescent="0.25">
      <c r="A13" s="5" t="s">
        <v>21</v>
      </c>
      <c r="B13" s="5" t="s">
        <v>166</v>
      </c>
    </row>
    <row r="14" spans="1:4" x14ac:dyDescent="0.25">
      <c r="A14" s="7">
        <v>0</v>
      </c>
      <c r="B14" s="7">
        <v>200</v>
      </c>
      <c r="C14" s="11" t="s">
        <v>22</v>
      </c>
      <c r="D14" s="11" t="s">
        <v>23</v>
      </c>
    </row>
    <row r="15" spans="1:4" x14ac:dyDescent="0.25">
      <c r="A15" s="7">
        <v>25</v>
      </c>
      <c r="B15" s="7">
        <v>400</v>
      </c>
      <c r="C15" s="11" t="s">
        <v>24</v>
      </c>
      <c r="D15" s="11" t="s">
        <v>25</v>
      </c>
    </row>
    <row r="16" spans="1:4" x14ac:dyDescent="0.25">
      <c r="A16" s="7">
        <v>51</v>
      </c>
      <c r="B16" s="7">
        <v>800</v>
      </c>
      <c r="C16" s="11" t="s">
        <v>26</v>
      </c>
      <c r="D16" s="11" t="s">
        <v>27</v>
      </c>
    </row>
    <row r="17" spans="1:4" x14ac:dyDescent="0.25">
      <c r="A17" s="7">
        <v>76</v>
      </c>
      <c r="B17" s="7">
        <v>1200</v>
      </c>
      <c r="C17" s="11" t="s">
        <v>28</v>
      </c>
      <c r="D17" s="11" t="s">
        <v>29</v>
      </c>
    </row>
    <row r="18" spans="1:4" x14ac:dyDescent="0.25">
      <c r="A18" s="7">
        <v>101</v>
      </c>
      <c r="B18" s="7">
        <v>1500</v>
      </c>
      <c r="C18" s="11" t="s">
        <v>30</v>
      </c>
      <c r="D18" s="11" t="s">
        <v>31</v>
      </c>
    </row>
  </sheetData>
  <sheetProtection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BC74E-C92F-4039-B253-F9F498E730C1}">
  <dimension ref="A1:F64"/>
  <sheetViews>
    <sheetView zoomScale="98" zoomScaleNormal="98" workbookViewId="0">
      <selection activeCell="B14" sqref="B14"/>
    </sheetView>
  </sheetViews>
  <sheetFormatPr defaultRowHeight="15" outlineLevelRow="1" x14ac:dyDescent="0.25"/>
  <cols>
    <col min="1" max="1" width="36.140625" customWidth="1"/>
    <col min="2" max="2" width="29.42578125" customWidth="1"/>
    <col min="3" max="3" width="59.85546875" customWidth="1"/>
    <col min="4" max="4" width="11.5703125" customWidth="1"/>
    <col min="9" max="9" width="14.42578125" customWidth="1"/>
  </cols>
  <sheetData>
    <row r="1" spans="1:3" ht="18.75" x14ac:dyDescent="0.3">
      <c r="A1" s="12" t="s">
        <v>32</v>
      </c>
    </row>
    <row r="2" spans="1:3" x14ac:dyDescent="0.25">
      <c r="A2" s="13" t="s">
        <v>101</v>
      </c>
    </row>
    <row r="4" spans="1:3" x14ac:dyDescent="0.25">
      <c r="A4" s="14" t="s">
        <v>33</v>
      </c>
      <c r="B4" s="15"/>
      <c r="C4" s="15"/>
    </row>
    <row r="5" spans="1:3" x14ac:dyDescent="0.25">
      <c r="A5" s="16" t="s">
        <v>84</v>
      </c>
      <c r="B5" s="17" t="s">
        <v>99</v>
      </c>
      <c r="C5" s="18" t="s">
        <v>85</v>
      </c>
    </row>
    <row r="6" spans="1:3" x14ac:dyDescent="0.25">
      <c r="A6" t="s">
        <v>147</v>
      </c>
      <c r="B6" s="19">
        <v>50</v>
      </c>
      <c r="C6" s="20" t="s">
        <v>34</v>
      </c>
    </row>
    <row r="7" spans="1:3" x14ac:dyDescent="0.25">
      <c r="A7" t="s">
        <v>148</v>
      </c>
      <c r="B7" s="19">
        <v>0</v>
      </c>
      <c r="C7" s="20" t="s">
        <v>149</v>
      </c>
    </row>
    <row r="8" spans="1:3" x14ac:dyDescent="0.25">
      <c r="A8" t="s">
        <v>150</v>
      </c>
      <c r="B8" s="19">
        <v>0</v>
      </c>
      <c r="C8" s="20" t="s">
        <v>151</v>
      </c>
    </row>
    <row r="9" spans="1:3" x14ac:dyDescent="0.25">
      <c r="A9" t="s">
        <v>152</v>
      </c>
      <c r="B9" s="53">
        <f>SUM(B6:B8)</f>
        <v>50</v>
      </c>
      <c r="C9" s="20" t="s">
        <v>153</v>
      </c>
    </row>
    <row r="10" spans="1:3" x14ac:dyDescent="0.25">
      <c r="A10" t="s">
        <v>35</v>
      </c>
      <c r="B10" s="21">
        <v>15</v>
      </c>
      <c r="C10" s="20" t="s">
        <v>36</v>
      </c>
    </row>
    <row r="11" spans="1:3" x14ac:dyDescent="0.25">
      <c r="A11" t="s">
        <v>37</v>
      </c>
      <c r="B11" s="21">
        <v>3</v>
      </c>
      <c r="C11" s="20" t="s">
        <v>38</v>
      </c>
    </row>
    <row r="12" spans="1:3" x14ac:dyDescent="0.25">
      <c r="A12" t="s">
        <v>39</v>
      </c>
      <c r="B12" s="22">
        <v>10</v>
      </c>
      <c r="C12" s="20" t="s">
        <v>40</v>
      </c>
    </row>
    <row r="13" spans="1:3" x14ac:dyDescent="0.25">
      <c r="A13" t="s">
        <v>82</v>
      </c>
      <c r="B13" s="19">
        <v>5</v>
      </c>
      <c r="C13" s="20" t="s">
        <v>83</v>
      </c>
    </row>
    <row r="14" spans="1:3" x14ac:dyDescent="0.25">
      <c r="A14" t="s">
        <v>41</v>
      </c>
      <c r="B14" s="23" t="s">
        <v>176</v>
      </c>
      <c r="C14" s="20" t="s">
        <v>42</v>
      </c>
    </row>
    <row r="15" spans="1:3" x14ac:dyDescent="0.25">
      <c r="A15" t="s">
        <v>43</v>
      </c>
      <c r="B15" s="23" t="s">
        <v>88</v>
      </c>
      <c r="C15" s="20" t="s">
        <v>44</v>
      </c>
    </row>
    <row r="17" spans="1:3" x14ac:dyDescent="0.25">
      <c r="A17" s="24" t="s">
        <v>45</v>
      </c>
      <c r="B17" s="25"/>
      <c r="C17" s="25"/>
    </row>
    <row r="18" spans="1:3" x14ac:dyDescent="0.25">
      <c r="A18" t="s">
        <v>46</v>
      </c>
      <c r="B18" s="26">
        <f>B9*(1+B12/100)</f>
        <v>55.000000000000007</v>
      </c>
      <c r="C18" s="20" t="s">
        <v>47</v>
      </c>
    </row>
    <row r="19" spans="1:3" x14ac:dyDescent="0.25">
      <c r="A19" t="s">
        <v>48</v>
      </c>
      <c r="B19" s="27">
        <f>B9*B10*(1+B12/100)</f>
        <v>825.00000000000011</v>
      </c>
      <c r="C19" s="20" t="s">
        <v>49</v>
      </c>
    </row>
    <row r="20" spans="1:3" x14ac:dyDescent="0.25">
      <c r="A20" t="s">
        <v>50</v>
      </c>
      <c r="B20" s="27">
        <f>B9*(B10*2+B11)</f>
        <v>1650</v>
      </c>
      <c r="C20" s="20" t="s">
        <v>51</v>
      </c>
    </row>
    <row r="21" spans="1:3" x14ac:dyDescent="0.25">
      <c r="A21" t="s">
        <v>52</v>
      </c>
      <c r="B21" s="28">
        <f>IF(B10&lt;=30,Oletukset!B8,IF(B10&lt;=60,Oletukset!B9,Oletukset!B10))</f>
        <v>30</v>
      </c>
      <c r="C21" s="20" t="s">
        <v>53</v>
      </c>
    </row>
    <row r="22" spans="1:3" x14ac:dyDescent="0.25">
      <c r="A22" t="s">
        <v>54</v>
      </c>
      <c r="B22" s="29">
        <f>B20/B21</f>
        <v>55</v>
      </c>
      <c r="C22" s="20" t="s">
        <v>55</v>
      </c>
    </row>
    <row r="24" spans="1:3" x14ac:dyDescent="0.25">
      <c r="A24" s="30" t="s">
        <v>56</v>
      </c>
      <c r="B24" s="31"/>
      <c r="C24" s="31"/>
    </row>
    <row r="25" spans="1:3" x14ac:dyDescent="0.25">
      <c r="A25" t="s">
        <v>57</v>
      </c>
      <c r="B25" s="32">
        <f>B18*Operaattorihinnat!I7</f>
        <v>235.40000000000003</v>
      </c>
      <c r="C25" s="20" t="s">
        <v>58</v>
      </c>
    </row>
    <row r="26" spans="1:3" x14ac:dyDescent="0.25">
      <c r="A26" t="s">
        <v>59</v>
      </c>
      <c r="B26" s="32">
        <f>B19*Operaattorihinnat!I5</f>
        <v>965.25000000000011</v>
      </c>
      <c r="C26" s="20" t="s">
        <v>60</v>
      </c>
    </row>
    <row r="27" spans="1:3" x14ac:dyDescent="0.25">
      <c r="A27" t="s">
        <v>154</v>
      </c>
      <c r="B27" s="32">
        <f>B7*(1+$B$12/100)*Operaattorihinnat!I9</f>
        <v>0</v>
      </c>
      <c r="C27" s="20" t="s">
        <v>155</v>
      </c>
    </row>
    <row r="28" spans="1:3" x14ac:dyDescent="0.25">
      <c r="A28" t="s">
        <v>156</v>
      </c>
      <c r="B28" s="32">
        <f>B8*(1+$B$12/100)*Operaattorihinnat!I10</f>
        <v>0</v>
      </c>
      <c r="C28" s="20" t="s">
        <v>157</v>
      </c>
    </row>
    <row r="29" spans="1:3" x14ac:dyDescent="0.25">
      <c r="A29" s="1" t="s">
        <v>61</v>
      </c>
      <c r="B29" s="33">
        <f>SUM(B25:B28)</f>
        <v>1200.6500000000001</v>
      </c>
    </row>
    <row r="30" spans="1:3" x14ac:dyDescent="0.25">
      <c r="A30" t="s">
        <v>97</v>
      </c>
      <c r="B30" s="34">
        <f>B29/B20</f>
        <v>0.72766666666666668</v>
      </c>
      <c r="C30" s="20" t="s">
        <v>62</v>
      </c>
    </row>
    <row r="31" spans="1:3" x14ac:dyDescent="0.25">
      <c r="A31" s="6" t="s">
        <v>95</v>
      </c>
      <c r="B31" s="35">
        <f>B29/B22</f>
        <v>21.830000000000002</v>
      </c>
      <c r="C31" s="11" t="s">
        <v>94</v>
      </c>
    </row>
    <row r="33" spans="1:3" x14ac:dyDescent="0.25">
      <c r="A33" s="36" t="s">
        <v>63</v>
      </c>
      <c r="B33" s="37"/>
      <c r="C33" s="37"/>
    </row>
    <row r="34" spans="1:3" x14ac:dyDescent="0.25">
      <c r="A34" t="s">
        <v>64</v>
      </c>
      <c r="B34" s="32">
        <f>B29*Oletukset!B6/100</f>
        <v>635.89425625000001</v>
      </c>
      <c r="C34" s="20" t="str">
        <f>TEXT(Oletukset!B6,"0")&amp;" % tuotoista"</f>
        <v>53 % tuotoista</v>
      </c>
    </row>
    <row r="35" spans="1:3" x14ac:dyDescent="0.25">
      <c r="A35" t="s">
        <v>65</v>
      </c>
      <c r="B35" s="32">
        <f>B20*Oletukset!B7</f>
        <v>495</v>
      </c>
      <c r="C35" s="20" t="s">
        <v>66</v>
      </c>
    </row>
    <row r="36" spans="1:3" x14ac:dyDescent="0.25">
      <c r="A36" t="s">
        <v>67</v>
      </c>
      <c r="B36" s="32" cm="1">
        <f t="array" ref="B36">INDEX(Operaattorihinnat!I22:I26,B13)</f>
        <v>0</v>
      </c>
      <c r="C36" s="20" t="str" cm="1">
        <f t="array" ref="C36">INDEX(Operaattorihinnat!A22:A26,B13)</f>
        <v>Välitys 5 Jytaksi</v>
      </c>
    </row>
    <row r="37" spans="1:3" x14ac:dyDescent="0.25">
      <c r="A37" t="s">
        <v>68</v>
      </c>
      <c r="B37" s="32" cm="1">
        <f t="array" ref="B37">B29*INDEX(Operaattorihinnat!J22:J26,B13)/100</f>
        <v>72.039000000000001</v>
      </c>
      <c r="C37" s="20" t="str" cm="1">
        <f t="array" ref="C37">TEXT(INDEX(Operaattorihinnat!J22:J26,B13),"0,00")&amp;" % tuotoista"</f>
        <v>6,00 % tuotoista</v>
      </c>
    </row>
    <row r="38" spans="1:3" x14ac:dyDescent="0.25">
      <c r="A38" t="s">
        <v>69</v>
      </c>
      <c r="B38" s="32">
        <f>IF(B15="Kyllä",Operaattorihinnat!I21,Operaattorihinnat!I20)</f>
        <v>8.9</v>
      </c>
      <c r="C38" s="20" t="s">
        <v>70</v>
      </c>
    </row>
    <row r="39" spans="1:3" x14ac:dyDescent="0.25">
      <c r="A39" t="s">
        <v>71</v>
      </c>
      <c r="B39" s="32">
        <f>(INDEX(Operaattorihinnat!I12:I17,MATCH(B14,Operaattorihinnat!A12:A17,0))+Operaattorihinnat!I18)/Oletukset!B2</f>
        <v>18.694444444444443</v>
      </c>
      <c r="C39" s="20" t="str">
        <f>"(liittymis + laite) / "&amp;TEXT(Oletukset!B2,"0")&amp;" kk"</f>
        <v>(liittymis + laite) / 36 kk</v>
      </c>
    </row>
    <row r="40" spans="1:3" x14ac:dyDescent="0.25">
      <c r="A40" s="1" t="s">
        <v>72</v>
      </c>
      <c r="B40" s="33">
        <f>SUM(B34:B39)</f>
        <v>1230.5277006944445</v>
      </c>
    </row>
    <row r="42" spans="1:3" x14ac:dyDescent="0.25">
      <c r="A42" s="38" t="s">
        <v>73</v>
      </c>
      <c r="B42" s="39"/>
      <c r="C42" s="39"/>
    </row>
    <row r="43" spans="1:3" x14ac:dyDescent="0.25">
      <c r="A43" s="1" t="s">
        <v>74</v>
      </c>
      <c r="B43" s="33">
        <f>B29-B40</f>
        <v>-29.877700694444457</v>
      </c>
      <c r="C43" t="s">
        <v>96</v>
      </c>
    </row>
    <row r="44" spans="1:3" x14ac:dyDescent="0.25">
      <c r="A44" t="s">
        <v>168</v>
      </c>
      <c r="B44" s="32">
        <f>VLOOKUP(B22,Oletukset!$A$14:$B$18,2,TRUE)</f>
        <v>800</v>
      </c>
      <c r="C44" s="20" t="str">
        <f>"ajoaika "&amp;TEXT(B22,"0")&amp;" h/kk"</f>
        <v>ajoaika 55 h/kk</v>
      </c>
    </row>
    <row r="45" spans="1:3" x14ac:dyDescent="0.25">
      <c r="A45" t="s">
        <v>75</v>
      </c>
      <c r="B45" s="40">
        <f>B43-B44</f>
        <v>-829.87770069444446</v>
      </c>
    </row>
    <row r="46" spans="1:3" x14ac:dyDescent="0.25">
      <c r="A46" s="1" t="s">
        <v>76</v>
      </c>
      <c r="B46" s="1" t="str">
        <f>IF(B45&gt;=0,"Kyllä – ylittää katetavoitteen","Ei – jää alle katetavoitteen")</f>
        <v>Ei – jää alle katetavoitteen</v>
      </c>
    </row>
    <row r="48" spans="1:3" x14ac:dyDescent="0.25">
      <c r="A48" s="6" t="s">
        <v>98</v>
      </c>
      <c r="B48" s="41" cm="1">
        <f t="array" ref="B48">((B44+B35+B36+B38+B39)/(1-(Oletukset!B6+INDEX(Operaattorihinnat!J22:J26,B13))/100)-B25-B27-B28)/B19</f>
        <v>3.621202837595161</v>
      </c>
      <c r="C48" s="11" t="s">
        <v>170</v>
      </c>
    </row>
    <row r="49" spans="1:6" x14ac:dyDescent="0.25">
      <c r="A49" s="6" t="s">
        <v>100</v>
      </c>
      <c r="B49" s="42" t="str">
        <f>IF(D49&lt;0,"Negatiivinen arvo",D49)</f>
        <v>Negatiivinen arvo</v>
      </c>
      <c r="C49" s="11" t="s">
        <v>171</v>
      </c>
      <c r="D49" s="43">
        <f>((B29-B44-(B35+B36+B37+B38+B39))/B29*100)/((1+Oletukset!B4/100)*(1+Oletukset!B5/100))</f>
        <v>-11.592133151759198</v>
      </c>
    </row>
    <row r="50" spans="1:6" x14ac:dyDescent="0.25">
      <c r="A50" s="44" t="s">
        <v>141</v>
      </c>
      <c r="B50" s="45" t="str">
        <f>IF(D50&gt;250,"Ei realistinen työmäärä",D50)</f>
        <v>Ei realistinen työmäärä</v>
      </c>
      <c r="C50" s="20" t="str">
        <f>IF(E50="","Kate ei ylitä katetavoitetta millään realistisella kyytimäärällä","vaatii n. "&amp;TEXT(E50,"0")&amp;" kyytiä/kk, jotta kate ylittää katetavoitteen")</f>
        <v>Kate ei ylitä katetavoitetta millään realistisella kyytimäärällä</v>
      </c>
      <c r="D50" s="46">
        <f>IFERROR(INDEX($E$59:$E$63,MATCH(TRUE,$F$59:$F$63,0)),100000)</f>
        <v>100000</v>
      </c>
      <c r="E50" s="47" t="str">
        <f>IFERROR(INDEX($D$59:$D$63,MATCH(TRUE,$F$59:$F$63,0)),"")</f>
        <v/>
      </c>
    </row>
    <row r="52" spans="1:6" hidden="1" outlineLevel="1" x14ac:dyDescent="0.25">
      <c r="A52" s="48" t="s">
        <v>134</v>
      </c>
    </row>
    <row r="53" spans="1:6" hidden="1" outlineLevel="1" x14ac:dyDescent="0.25">
      <c r="A53" s="44" t="s">
        <v>158</v>
      </c>
      <c r="B53" s="49" cm="1">
        <f t="array" ref="B53">((Operaattorihinnat!I7+$B$10*Operaattorihinnat!I5)*(1+$B$12/100))*(1-(Oletukset!$B$6+INDEX(Operaattorihinnat!$J$22:$J$26,$B$13))/100)-($B$10*2+$B$11)*Oletukset!$B$7</f>
        <v>-4.5665124999999307E-2</v>
      </c>
    </row>
    <row r="54" spans="1:6" hidden="1" outlineLevel="1" x14ac:dyDescent="0.25">
      <c r="A54" s="44" t="s">
        <v>159</v>
      </c>
      <c r="B54" s="49" cm="1">
        <f t="array" ref="B54">Operaattorihinnat!I9*(1+$B$12/100)*(1-(Oletukset!$B$6+INDEX(Operaattorihinnat!$J$22:$J$26,$B$13))/100)</f>
        <v>5.1461025000000014</v>
      </c>
      <c r="C54" t="s">
        <v>160</v>
      </c>
    </row>
    <row r="55" spans="1:6" hidden="1" outlineLevel="1" x14ac:dyDescent="0.25">
      <c r="A55" s="44" t="s">
        <v>161</v>
      </c>
      <c r="B55" s="49" cm="1">
        <f t="array" ref="B55">Operaattorihinnat!I10*(1+$B$12/100)*(1-(Oletukset!$B$6+INDEX(Operaattorihinnat!$J$22:$J$26,$B$13))/100)</f>
        <v>9.8633631250000029</v>
      </c>
      <c r="C55" t="s">
        <v>162</v>
      </c>
    </row>
    <row r="56" spans="1:6" hidden="1" outlineLevel="1" x14ac:dyDescent="0.25">
      <c r="A56" s="44" t="s">
        <v>163</v>
      </c>
      <c r="B56" s="49">
        <f>B53+(B7*B54+B8*B55)/B9</f>
        <v>-4.5665124999999307E-2</v>
      </c>
      <c r="C56" t="s">
        <v>164</v>
      </c>
    </row>
    <row r="57" spans="1:6" hidden="1" outlineLevel="1" x14ac:dyDescent="0.25">
      <c r="A57" s="44" t="s">
        <v>135</v>
      </c>
      <c r="B57" s="49">
        <f>B36+B38+B39</f>
        <v>27.594444444444441</v>
      </c>
    </row>
    <row r="58" spans="1:6" hidden="1" outlineLevel="1" x14ac:dyDescent="0.25">
      <c r="A58" s="1" t="s">
        <v>136</v>
      </c>
      <c r="B58" s="1" t="s">
        <v>169</v>
      </c>
      <c r="C58" s="1" t="s">
        <v>137</v>
      </c>
      <c r="D58" s="1" t="s">
        <v>138</v>
      </c>
      <c r="E58" s="1" t="s">
        <v>139</v>
      </c>
      <c r="F58" s="1" t="s">
        <v>140</v>
      </c>
    </row>
    <row r="59" spans="1:6" hidden="1" outlineLevel="1" x14ac:dyDescent="0.25">
      <c r="A59" s="26">
        <f>Oletukset!A14</f>
        <v>0</v>
      </c>
      <c r="B59" s="50">
        <f>Oletukset!B14</f>
        <v>200</v>
      </c>
      <c r="C59" s="26">
        <f>Oletukset!A15</f>
        <v>25</v>
      </c>
      <c r="D59" s="26">
        <f>IFERROR(ROUNDUP(($B$57+B59)/$B$56,0),"")</f>
        <v>-4984</v>
      </c>
      <c r="E59" s="51">
        <f>IFERROR(D59*($B$10*2+$B$11)/$B$21,"")</f>
        <v>-5482.4</v>
      </c>
      <c r="F59" t="b">
        <f>IF(AND(ISNUMBER(E59),E59&gt;=A59,E59&lt;C59),TRUE,FALSE)</f>
        <v>0</v>
      </c>
    </row>
    <row r="60" spans="1:6" hidden="1" outlineLevel="1" x14ac:dyDescent="0.25">
      <c r="A60" s="26">
        <f>Oletukset!A15</f>
        <v>25</v>
      </c>
      <c r="B60" s="50">
        <f>Oletukset!B15</f>
        <v>400</v>
      </c>
      <c r="C60" s="26">
        <f>Oletukset!A16</f>
        <v>51</v>
      </c>
      <c r="D60" s="26">
        <f>IFERROR(ROUNDUP(($B$57+B60)/$B$56,0),"")</f>
        <v>-9364</v>
      </c>
      <c r="E60" s="51">
        <f t="shared" ref="E60:E63" si="0">IFERROR(D60*($B$10*2+$B$11)/$B$21,"")</f>
        <v>-10300.4</v>
      </c>
      <c r="F60" t="b">
        <f t="shared" ref="F60:F63" si="1">IF(AND(ISNUMBER(E60),E60&gt;=A60,E60&lt;C60),TRUE,FALSE)</f>
        <v>0</v>
      </c>
    </row>
    <row r="61" spans="1:6" hidden="1" outlineLevel="1" x14ac:dyDescent="0.25">
      <c r="A61" s="26">
        <f>Oletukset!A16</f>
        <v>51</v>
      </c>
      <c r="B61" s="50">
        <f>Oletukset!B16</f>
        <v>800</v>
      </c>
      <c r="C61" s="26">
        <f>Oletukset!A17</f>
        <v>76</v>
      </c>
      <c r="D61" s="26">
        <f>IFERROR(ROUNDUP(($B$57+B61)/$B$56,0),"")</f>
        <v>-18124</v>
      </c>
      <c r="E61" s="51">
        <f t="shared" si="0"/>
        <v>-19936.400000000001</v>
      </c>
      <c r="F61" t="b">
        <f t="shared" si="1"/>
        <v>0</v>
      </c>
    </row>
    <row r="62" spans="1:6" hidden="1" outlineLevel="1" x14ac:dyDescent="0.25">
      <c r="A62" s="26">
        <f>Oletukset!A17</f>
        <v>76</v>
      </c>
      <c r="B62" s="50">
        <f>Oletukset!B17</f>
        <v>1200</v>
      </c>
      <c r="C62" s="26">
        <f>Oletukset!A18</f>
        <v>101</v>
      </c>
      <c r="D62" s="26">
        <f>IFERROR(ROUNDUP(($B$57+B62)/$B$56,0),"")</f>
        <v>-26883</v>
      </c>
      <c r="E62" s="51">
        <f t="shared" si="0"/>
        <v>-29571.3</v>
      </c>
      <c r="F62" t="b">
        <f t="shared" si="1"/>
        <v>0</v>
      </c>
    </row>
    <row r="63" spans="1:6" hidden="1" outlineLevel="1" x14ac:dyDescent="0.25">
      <c r="A63" s="26">
        <f>Oletukset!A18</f>
        <v>101</v>
      </c>
      <c r="B63" s="50">
        <f>Oletukset!B18</f>
        <v>1500</v>
      </c>
      <c r="C63" s="52">
        <v>100000</v>
      </c>
      <c r="D63" s="26">
        <f>IFERROR(ROUNDUP(($B$57+B63)/$B$56,0),"")</f>
        <v>-33453</v>
      </c>
      <c r="E63" s="51">
        <f t="shared" si="0"/>
        <v>-36798.300000000003</v>
      </c>
      <c r="F63" t="b">
        <f t="shared" si="1"/>
        <v>0</v>
      </c>
    </row>
    <row r="64" spans="1:6" collapsed="1" x14ac:dyDescent="0.25"/>
  </sheetData>
  <conditionalFormatting sqref="B46">
    <cfRule type="containsText" dxfId="2" priority="5" operator="containsText" text="Kyllä">
      <formula>NOT(ISERROR(SEARCH("Kyllä",B46)))</formula>
    </cfRule>
    <cfRule type="containsText" dxfId="1" priority="6" operator="containsText" text="Ei">
      <formula>NOT(ISERROR(SEARCH("Ei",B46)))</formula>
    </cfRule>
  </conditionalFormatting>
  <conditionalFormatting sqref="B49">
    <cfRule type="expression" dxfId="0" priority="7">
      <formula>$D$49&lt;0</formula>
    </cfRule>
  </conditionalFormatting>
  <dataValidations count="2">
    <dataValidation type="list" allowBlank="1" showInputMessage="1" showErrorMessage="1" sqref="B15" xr:uid="{A1189EE6-5024-4927-BA77-2079BE546004}">
      <formula1>"Kyllä,Ei"</formula1>
    </dataValidation>
    <dataValidation type="list" allowBlank="1" showInputMessage="1" showErrorMessage="1" sqref="B13" xr:uid="{6D579A80-D57A-4A18-BF7D-8BB6C53CFB0D}">
      <formula1>"1,2,3,4,5"</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EFC5E1A-A722-4EF9-968C-050C3D539229}">
          <x14:formula1>
            <xm:f>Operaattorihinnat!$A$12:$A$17</xm:f>
          </x14:formula1>
          <xm:sqref>B14</xm:sqref>
        </x14:dataValidation>
        <x14:dataValidation type="list" allowBlank="1" showInputMessage="1" showErrorMessage="1" xr:uid="{A41372BE-3EC5-4327-8610-E88F36C0CD94}">
          <x14:formula1>
            <xm:f>Operaattorihinnat!$C$30:$C$31</xm:f>
          </x14:formula1>
          <xm:sqref>B5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5</vt:i4>
      </vt:variant>
    </vt:vector>
  </HeadingPairs>
  <TitlesOfParts>
    <vt:vector size="5" baseType="lpstr">
      <vt:lpstr>Etusivu</vt:lpstr>
      <vt:lpstr>Palveluntuottajat</vt:lpstr>
      <vt:lpstr>Operaattorihinnat</vt:lpstr>
      <vt:lpstr>Oletukset</vt:lpstr>
      <vt:lpstr>Laskuri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Harri Kolu</dc:creator>
  <cp:keywords/>
  <dc:description/>
  <cp:lastModifiedBy>Harri Kolu</cp:lastModifiedBy>
  <cp:revision/>
  <dcterms:created xsi:type="dcterms:W3CDTF">2026-06-30T15:27:53Z</dcterms:created>
  <dcterms:modified xsi:type="dcterms:W3CDTF">2026-07-13T08:15:20Z</dcterms:modified>
  <cp:category/>
  <cp:contentStatus/>
</cp:coreProperties>
</file>