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tilipolku-my.sharepoint.com/personal/harri_kolu_tilipolku_fi/Documents/Tiedostot/Claude/Kela2027/"/>
    </mc:Choice>
  </mc:AlternateContent>
  <xr:revisionPtr revIDLastSave="1311" documentId="8_{A44C2CB2-E9AC-4FF1-81EE-2C2DDF90B8EC}" xr6:coauthVersionLast="47" xr6:coauthVersionMax="47" xr10:uidLastSave="{7DAF706F-3E0B-4245-A137-A78AA3BBADAA}"/>
  <bookViews>
    <workbookView xWindow="9675" yWindow="420" windowWidth="29400" windowHeight="18420" xr2:uid="{72C9FA74-F043-45EC-9AC3-FB37056546E4}"/>
  </bookViews>
  <sheets>
    <sheet name="Home" sheetId="4" r:id="rId1"/>
    <sheet name="Service Providers" sheetId="5" r:id="rId2"/>
    <sheet name="Operator Prices" sheetId="1" r:id="rId3"/>
    <sheet name="Assumptions" sheetId="3" r:id="rId4"/>
    <sheet name="Calculator"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37" i="2" l="1" a="1"/>
  <c r="C37" i="2" s="1"/>
  <c r="B38" i="2"/>
  <c r="C44" i="2"/>
  <c r="C39" i="2"/>
  <c r="C34" i="2"/>
  <c r="C30" i="1" a="1"/>
  <c r="C30" i="1" s="1"/>
  <c r="B55" i="2" a="1"/>
  <c r="B55" i="2"/>
  <c r="B54" i="2" a="1"/>
  <c r="B54" i="2" s="1"/>
  <c r="B9" i="2"/>
  <c r="B20" i="2" s="1"/>
  <c r="B63" i="2"/>
  <c r="A63" i="2"/>
  <c r="C62" i="2"/>
  <c r="B62" i="2"/>
  <c r="A62" i="2"/>
  <c r="C61" i="2"/>
  <c r="B61" i="2"/>
  <c r="A61" i="2"/>
  <c r="C60" i="2"/>
  <c r="B60" i="2"/>
  <c r="A60" i="2"/>
  <c r="C59" i="2"/>
  <c r="B59" i="2"/>
  <c r="A59" i="2"/>
  <c r="B56" i="2" l="1"/>
  <c r="B18" i="2"/>
  <c r="B19" i="2"/>
  <c r="G20" i="5"/>
  <c r="D20" i="5"/>
  <c r="G19" i="5"/>
  <c r="D19" i="5"/>
  <c r="G18" i="5"/>
  <c r="D18" i="5"/>
  <c r="G17" i="5"/>
  <c r="D17" i="5"/>
  <c r="G16" i="5"/>
  <c r="D16" i="5"/>
  <c r="G15" i="5"/>
  <c r="D15" i="5"/>
  <c r="G14" i="5"/>
  <c r="D14" i="5"/>
  <c r="G13" i="5"/>
  <c r="D13" i="5"/>
  <c r="G12" i="5"/>
  <c r="D12" i="5"/>
  <c r="G11" i="5"/>
  <c r="D11" i="5"/>
  <c r="G10" i="5"/>
  <c r="D10" i="5"/>
  <c r="G9" i="5"/>
  <c r="D9" i="5"/>
  <c r="G8" i="5"/>
  <c r="D8" i="5"/>
  <c r="G7" i="5"/>
  <c r="D7" i="5"/>
  <c r="G6" i="5"/>
  <c r="D6" i="5"/>
  <c r="G5" i="5"/>
  <c r="D5" i="5"/>
  <c r="G4" i="5"/>
  <c r="D4" i="5"/>
  <c r="B31" i="1" l="1"/>
  <c r="A31" i="1"/>
  <c r="B30" i="1"/>
  <c r="A30" i="1"/>
  <c r="H2" i="1"/>
  <c r="I6" i="1" s="1"/>
  <c r="C36" i="2" a="1"/>
  <c r="C36" i="2" s="1"/>
  <c r="B6" i="3"/>
  <c r="B21" i="2"/>
  <c r="B35" i="2"/>
  <c r="I9" i="1" l="1"/>
  <c r="B27" i="2" s="1"/>
  <c r="I8" i="1"/>
  <c r="I10" i="1"/>
  <c r="B28" i="2" s="1"/>
  <c r="I25" i="1"/>
  <c r="J22" i="1"/>
  <c r="I14" i="1"/>
  <c r="I26" i="1"/>
  <c r="B36" i="2" s="1" a="1"/>
  <c r="B36" i="2" s="1"/>
  <c r="I13" i="1"/>
  <c r="J23" i="1"/>
  <c r="J24" i="1"/>
  <c r="J26" i="1"/>
  <c r="I22" i="1"/>
  <c r="I18" i="1"/>
  <c r="I23" i="1"/>
  <c r="I5" i="1"/>
  <c r="B26" i="2" s="1"/>
  <c r="I7" i="1"/>
  <c r="I24" i="1"/>
  <c r="I15" i="1"/>
  <c r="I16" i="1"/>
  <c r="I17" i="1"/>
  <c r="J25" i="1"/>
  <c r="I20" i="1"/>
  <c r="I21" i="1"/>
  <c r="I12" i="1"/>
  <c r="B22" i="2"/>
  <c r="B25" i="2" l="1"/>
  <c r="B53" i="2" a="1"/>
  <c r="B53" i="2" s="1"/>
  <c r="B39" i="2"/>
  <c r="B57" i="2" s="1"/>
  <c r="B44" i="2"/>
  <c r="D63" i="2" l="1"/>
  <c r="E63" i="2" s="1"/>
  <c r="F63" i="2" s="1"/>
  <c r="D61" i="2"/>
  <c r="E61" i="2" s="1"/>
  <c r="F61" i="2" s="1"/>
  <c r="D62" i="2"/>
  <c r="E62" i="2" s="1"/>
  <c r="F62" i="2" s="1"/>
  <c r="D60" i="2"/>
  <c r="E60" i="2" s="1"/>
  <c r="F60" i="2" s="1"/>
  <c r="D59" i="2"/>
  <c r="E59" i="2" s="1"/>
  <c r="F59" i="2" s="1"/>
  <c r="B48" i="2" a="1"/>
  <c r="B48" i="2" s="1"/>
  <c r="B29" i="2"/>
  <c r="B31" i="2" s="1"/>
  <c r="B34" i="2" l="1"/>
  <c r="B40" i="2" s="1"/>
  <c r="B43" i="2" s="1"/>
  <c r="B45" i="2" s="1"/>
  <c r="B46" i="2" s="1"/>
  <c r="B30" i="2"/>
  <c r="B37" i="2" a="1"/>
  <c r="B37" i="2" s="1"/>
  <c r="D49" i="2" s="1"/>
  <c r="B49" i="2" s="1"/>
  <c r="E50" i="2"/>
  <c r="C50" i="2" s="1"/>
  <c r="D50" i="2"/>
  <c r="B5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 Kolu</author>
  </authors>
  <commentList>
    <comment ref="D49" authorId="0" shapeId="0" xr:uid="{D8A50B86-C96D-499D-9111-FCC4376552E8}">
      <text>
        <r>
          <rPr>
            <b/>
            <sz val="9"/>
            <color indexed="81"/>
            <rFont val="Tahoma"/>
            <charset val="1"/>
          </rPr>
          <t>Harri Kolu:
Helper calculation: raw wage percentage (can be negative). B44 shows this or the text "Negative value".</t>
        </r>
      </text>
    </comment>
    <comment ref="C63" authorId="0" shapeId="0" xr:uid="{B9B59F47-5760-4BC3-B6EB-80C4B1C01044}">
      <text>
        <r>
          <rPr>
            <b/>
            <sz val="9"/>
            <color indexed="81"/>
            <rFont val="Tahoma"/>
            <family val="2"/>
          </rPr>
          <t>Harri Kolu:
Upper limit for the last margin target tier (over 101h), no actual upper limit in the Assumptions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<sst xmlns="http://schemas.openxmlformats.org/spreadsheetml/2006/main" count="211" uniqueCount="179">
  <si>
    <t>&lt; 25 h</t>
  </si>
  <si>
    <t>&gt; 100 h</t>
  </si>
  <si>
    <t>Konnektio</t>
  </si>
  <si>
    <t>K-S MYK</t>
  </si>
  <si>
    <t>Keski-Suomi</t>
  </si>
  <si>
    <t>Uusimaa</t>
  </si>
  <si>
    <t>Varsinais-Suomi</t>
  </si>
  <si>
    <t>Päijät-Häme</t>
  </si>
  <si>
    <t>Lahden Aluetaksi</t>
  </si>
  <si>
    <t>Tampereen Aluetaksi</t>
  </si>
  <si>
    <t>Etelä-Savo</t>
  </si>
  <si>
    <t>Joensuun Taksi</t>
  </si>
  <si>
    <t>Pohjois-Karjala</t>
  </si>
  <si>
    <t>Kainuu</t>
  </si>
  <si>
    <t>Lappi</t>
  </si>
  <si>
    <t>Keski- ja Pohjoispohjanmaa</t>
  </si>
  <si>
    <t>Pohjois-Suomen Taksi</t>
  </si>
  <si>
    <t>Kanta-Häme</t>
  </si>
  <si>
    <t>Kymenlaakso</t>
  </si>
  <si>
    <t>Kymenlaakson Taksi</t>
  </si>
  <si>
    <t>Pirkanmaa</t>
  </si>
  <si>
    <t>Pohjanmaa</t>
  </si>
  <si>
    <t>Keskustaksi</t>
  </si>
  <si>
    <t>Pohjois-Savo</t>
  </si>
  <si>
    <t>Satakunta</t>
  </si>
  <si>
    <t>Etelä-Pohjanmaa</t>
  </si>
  <si>
    <t>Etelä-Karjala</t>
  </si>
  <si>
    <t>Taksi Helsinki</t>
  </si>
  <si>
    <t>Kela 2027-2030 Profitability Calculator
General
This spreadsheet has been prepared as a tool for the Kela 2027 contract consideration. The spreadsheet is built so that you can edit several of its fields to suit your company's operations. Editable fields are marked in blue in the table. If needed, ask your accountant for details about your company's cost structure to get a more accurate calculation. The spreadsheet does not take into account income from compensation paid for waiting time, nor any pick-up compensation the service provider may pay. The spreadsheet is calculated for the output of a single vehicle. If your company has several vehicles, or both accessible and regular taxis, run the calculation separately for each vehicle. If needed, you can adjust the margin target allocated to fixed costs in the Assumptions sheet.
The figures in the spreadsheet further confirm that, especially for city taxis, driving long trips in particular is unprofitable/weakly profitable, and that for regional taxis too, a large share of return trips is required to achieve profitable operations. As a general guideline, before making a decision it is worth waiting for both service providers in your area to publish their contract terms and charges, and then seeing which one suits you - or whether neither does.
The publisher of this spreadsheet assumes no responsibility for any errors in the spreadsheet or for any recommendations it provides regarding contract decisions. Each driver makes their own decision on joining, and it is not the publisher's intent to steer that decision.
Instructions for use
1)      Save your province's service providers' prices in Operator Prices. In the 'Include in calculator' row you can decide whether a service provider is selectable in the calculator. If a service provider's prices are missing, leave the value 'No' for that service provider's field.
2)      Check the Assumptions sheet, especially the wage percentage and vehicle costs/km. Do not price your own work input as an entrepreneur lower than the driver's.
3)      Enter your estimated trip volumes and other details in the Own Inputs section.
TaxiFacta 13.7.2026</t>
  </si>
  <si>
    <t>Kela trip service providers for 2027-2030</t>
  </si>
  <si>
    <t>Province</t>
  </si>
  <si>
    <t>Service Provider 1</t>
  </si>
  <si>
    <t>Rank 1 Price</t>
  </si>
  <si>
    <t>Excl. VAT</t>
  </si>
  <si>
    <t>Service Provider 2</t>
  </si>
  <si>
    <t>Rank 2 Price</t>
  </si>
  <si>
    <t>Kela Payments</t>
  </si>
  <si>
    <t>Include in calculator</t>
  </si>
  <si>
    <t>Input Data</t>
  </si>
  <si>
    <t>Revenue</t>
  </si>
  <si>
    <t>Fare/km fare class 1</t>
  </si>
  <si>
    <t>Fare/km fare class 2</t>
  </si>
  <si>
    <t>Base fare/trip</t>
  </si>
  <si>
    <t>Waiting fee</t>
  </si>
  <si>
    <t>Assistance surcharge</t>
  </si>
  <si>
    <t>Stretcher and stair-carry surcharge</t>
  </si>
  <si>
    <t>One-time fees</t>
  </si>
  <si>
    <t>Joining and activation fees EV1 time limit 1</t>
  </si>
  <si>
    <t>Joining and activation fees EV2 time limit 2</t>
  </si>
  <si>
    <t>Joining and activation fees EV3 time limit 3</t>
  </si>
  <si>
    <t>Joining and activation fees 1 time limit 1</t>
  </si>
  <si>
    <t>Joining and activation fees 2 time limit 2</t>
  </si>
  <si>
    <t>Joining and activation fees 3 time limit 3</t>
  </si>
  <si>
    <t>Vehicle device (one-time fee)</t>
  </si>
  <si>
    <t>Monthly fees</t>
  </si>
  <si>
    <t>Data transfer Cabman, Mitax (month)</t>
  </si>
  <si>
    <t>Data transfer Semel (month)</t>
  </si>
  <si>
    <t>Dispatch 1</t>
  </si>
  <si>
    <t>Dispatch 2</t>
  </si>
  <si>
    <t>Dispatch 3</t>
  </si>
  <si>
    <t>Dispatch 4</t>
  </si>
  <si>
    <t>Dispatch 5 Jytaksi</t>
  </si>
  <si>
    <t>Operator selection helper list</t>
  </si>
  <si>
    <t>Operator</t>
  </si>
  <si>
    <t>Yes</t>
  </si>
  <si>
    <t>No</t>
  </si>
  <si>
    <t>Prices checked</t>
  </si>
  <si>
    <t>Available in Calculator</t>
  </si>
  <si>
    <t>Active operator</t>
  </si>
  <si>
    <t>Active value</t>
  </si>
  <si>
    <t>Active commission %</t>
  </si>
  <si>
    <t>Assumptions</t>
  </si>
  <si>
    <t>Contract period (months)</t>
  </si>
  <si>
    <t>Wage percentage (%)</t>
  </si>
  <si>
    <t>Holiday pay percentage (%)</t>
  </si>
  <si>
    <t>Payroll overhead percentage (%)</t>
  </si>
  <si>
    <t>Driver's wage + overhead of revenue (%)</t>
  </si>
  <si>
    <t>Vehicle costs/km (EUR)</t>
  </si>
  <si>
    <t>Driving time under 30 km (km/h)</t>
  </si>
  <si>
    <t>Driving time 31-60 km (km/h)</t>
  </si>
  <si>
    <t>Driving time over 60 km (km/h)</t>
  </si>
  <si>
    <t>Margin target by time</t>
  </si>
  <si>
    <t>Time lower limit (h/month)</t>
  </si>
  <si>
    <t>Margin target (EUR/month)</t>
  </si>
  <si>
    <t>commission+holiday pay+overhead, in principle the entrepreneur should get the same wage as a driver</t>
  </si>
  <si>
    <t>the calculator's margin target covers the company's fixed costs</t>
  </si>
  <si>
    <t>25-50 h</t>
  </si>
  <si>
    <t>51-75 h</t>
  </si>
  <si>
    <t>76-100 h</t>
  </si>
  <si>
    <t>little</t>
  </si>
  <si>
    <t>some</t>
  </si>
  <si>
    <t>about half</t>
  </si>
  <si>
    <t>significant amount</t>
  </si>
  <si>
    <t>mostly</t>
  </si>
  <si>
    <t>Profitability Calculator – Kela Taxis 2027</t>
  </si>
  <si>
    <t>Enter your own estimates in the blue cells. Prices are retrieved from the Operator Prices sheet.</t>
  </si>
  <si>
    <t>1. OWN INPUTS</t>
  </si>
  <si>
    <t>Trips, regular / month</t>
  </si>
  <si>
    <t>Trips, accessible with assistance surcharge / month</t>
  </si>
  <si>
    <t>Trips, accessible with stretcher/stair-carry / month</t>
  </si>
  <si>
    <t>Trips total / month</t>
  </si>
  <si>
    <t>Average trip length / trip</t>
  </si>
  <si>
    <t>Pick-up distance / trip</t>
  </si>
  <si>
    <t>Share of return trips</t>
  </si>
  <si>
    <t>Dispatch level (1-5)</t>
  </si>
  <si>
    <t>Joining fee package</t>
  </si>
  <si>
    <t>Semel data transfer</t>
  </si>
  <si>
    <t>2. DRIVING OUTPUT / MONTH</t>
  </si>
  <si>
    <t>Paid trips (incl. return trips)</t>
  </si>
  <si>
    <t>Reimbursable kilometers (for revenue)</t>
  </si>
  <si>
    <t>Kilometers driven by vehicle (for costs)</t>
  </si>
  <si>
    <t>Average speed (km/h)</t>
  </si>
  <si>
    <t>Time spent on trips</t>
  </si>
  <si>
    <t>3. REVENUE / MONTH</t>
  </si>
  <si>
    <t>Base fare revenue</t>
  </si>
  <si>
    <t>Kilometer revenue</t>
  </si>
  <si>
    <t>Assistance surcharge revenue</t>
  </si>
  <si>
    <t>Stretcher/stair-carry revenue</t>
  </si>
  <si>
    <t>Total revenue</t>
  </si>
  <si>
    <t>Driving revenue / km</t>
  </si>
  <si>
    <t>Driving revenue / h</t>
  </si>
  <si>
    <t>4. COSTS / MONTH</t>
  </si>
  <si>
    <t>Driver's wage + overhead</t>
  </si>
  <si>
    <t>Vehicle costs</t>
  </si>
  <si>
    <t>Dispatch monthly fee</t>
  </si>
  <si>
    <t>Dispatch commission</t>
  </si>
  <si>
    <t>Data transfer</t>
  </si>
  <si>
    <t>Amortization of one-time fees</t>
  </si>
  <si>
    <t>Total costs</t>
  </si>
  <si>
    <t>5. RESULT</t>
  </si>
  <si>
    <t>Margin (revenue - costs)</t>
  </si>
  <si>
    <t>Margin target / month (by time)</t>
  </si>
  <si>
    <t>Above / below target</t>
  </si>
  <si>
    <t>Is it worth joining?</t>
  </si>
  <si>
    <t>Required / km</t>
  </si>
  <si>
    <t>Wage % max</t>
  </si>
  <si>
    <t>Driving time required</t>
  </si>
  <si>
    <t>Driving time requirement helper table</t>
  </si>
  <si>
    <t>Margin / trip, regular (EUR)</t>
  </si>
  <si>
    <t>Surcharge / assistance trip (EUR)</t>
  </si>
  <si>
    <t>Surcharge / stretcher-stair-carry trip (EUR)</t>
  </si>
  <si>
    <t>Margin / trip, weighted average (EUR)</t>
  </si>
  <si>
    <t>Fixed costs / month (EUR)</t>
  </si>
  <si>
    <t>Hour limit from</t>
  </si>
  <si>
    <t>Trips required</t>
  </si>
  <si>
    <t>Hours required</t>
  </si>
  <si>
    <t>Valid</t>
  </si>
  <si>
    <t>select operator (only checked prices shown)</t>
  </si>
  <si>
    <t>trips per month</t>
  </si>
  <si>
    <t>accessible trips with assistance surcharge, month</t>
  </si>
  <si>
    <t>accessible trips with stretcher/stair-carry surcharge, month</t>
  </si>
  <si>
    <t>regular + assistance surcharge + stretcher/stair-carry</t>
  </si>
  <si>
    <t>customer trip length, km</t>
  </si>
  <si>
    <t>distance driven empty to customer, km</t>
  </si>
  <si>
    <t>% of trips for which the return trip is also paid</t>
  </si>
  <si>
    <t>1=Dispatch 1 ... 5=Dispatch 5</t>
  </si>
  <si>
    <t>select package</t>
  </si>
  <si>
    <t>Yes = more expensive Semel data transfer</t>
  </si>
  <si>
    <t>trips × (1 + return-%)</t>
  </si>
  <si>
    <t>customer km + return trip km</t>
  </si>
  <si>
    <t>(2 × trip + pick-up) × trips</t>
  </si>
  <si>
    <t>based on trip length from Input Data</t>
  </si>
  <si>
    <t>km driven by vehicle / average speed</t>
  </si>
  <si>
    <t>paid trips × base fare</t>
  </si>
  <si>
    <t>reimbursable km × fare</t>
  </si>
  <si>
    <t>assistance trips × (1 + return-%) × assistance surcharge</t>
  </si>
  <si>
    <t>stretcher/stair-carry trips × (1 + return-%) × stretcher/stair-carry surcharge</t>
  </si>
  <si>
    <t>total revenue / km driven by vehicle</t>
  </si>
  <si>
    <t>total revenue / time spent on trips</t>
  </si>
  <si>
    <t>km driven by vehicle × EUR/km (incl. pick-up)</t>
  </si>
  <si>
    <t>regular / Semel</t>
  </si>
  <si>
    <t>does not include fixed costs</t>
  </si>
  <si>
    <t>fare / km, for margin = margin target</t>
  </si>
  <si>
    <t>wage percentage, for margin = margin target at selected operator's fare</t>
  </si>
  <si>
    <t>assistance surcharge × (1+return-%) × (1-wage%-commission%)</t>
  </si>
  <si>
    <t>stretcher/stair-carry surcharge × (1+return-%) × (1-wage%-commission%)</t>
  </si>
  <si>
    <t>regular + surcharges weighted by trip type shares</t>
  </si>
  <si>
    <t>Hour limit up to</t>
  </si>
  <si>
    <t>Margin target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</si>
</sst>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 &quot;km&quot;"/>
    <numFmt numFmtId="165" formatCode="#,##0\ &quot;km&quot;"/>
    <numFmt numFmtId="166" formatCode="#,##0.00\ \€"/>
    <numFmt numFmtId="167" formatCode="#,##0.00\ \€;[Red]\-#,##0.00\ \€"/>
    <numFmt numFmtId="168" formatCode="#,##0\ &quot;%&quot;"/>
    <numFmt numFmtId="169" formatCode="#,##0.00\ &quot;€/km&quot;"/>
    <numFmt numFmtId="170" formatCode="#,##0\ \€"/>
    <numFmt numFmtId="171" formatCode="#,##0\ &quot;km/h&quot;"/>
    <numFmt numFmtId="173" formatCode="#,##0.00\ &quot;€/h&quot;"/>
    <numFmt numFmtId="174" formatCode="#,##0.0\ &quot;%&quot;"/>
    <numFmt numFmtId="175" formatCode="#,##0.0"/>
    <numFmt numFmtId="176" formatCode="#,##0.0\ &quot;h&quot;"/>
    <numFmt numFmtId="177" formatCode="#,##0.0\ &quot;h&quot;;\-#,##0.0\ &quot;h&quot;;0.0\ &quot;h&quot;;@"/>
    <numFmt numFmtId="178" formatCode="#,##0.0\ &quot;h/month&quot;"/>
  </numFmts>
  <fonts count="18" x14ac:knownFonts="1">
    <font>
      <sz val="11"/>
      <color theme="1"/>
      <name val="Aptos Narrow"/>
      <family val="2"/>
      <scheme val="minor"/>
    </font>
    <font>
      <b/>
      <sz val="11"/>
      <color theme="1"/>
      <name val="Aptos Narrow"/>
      <family val="2"/>
      <scheme val="minor"/>
    </font>
    <font>
      <b/>
      <sz val="14"/>
      <color theme="1"/>
      <name val="Aptos Narrow"/>
      <family val="2"/>
      <scheme val="minor"/>
    </font>
    <font>
      <i/>
      <sz val="11"/>
      <color rgb="FF666666"/>
      <name val="Aptos Narrow"/>
      <family val="2"/>
      <scheme val="minor"/>
    </font>
    <font>
      <sz val="11"/>
      <color rgb="FF0000FF"/>
      <name val="Aptos Narrow"/>
      <family val="2"/>
      <scheme val="minor"/>
    </font>
    <font>
      <sz val="11"/>
      <color rgb="FF888888"/>
      <name val="Aptos Narrow"/>
      <family val="2"/>
      <scheme val="minor"/>
    </font>
    <font>
      <sz val="11"/>
      <color theme="1"/>
      <name val="Aptos Narrow"/>
      <scheme val="minor"/>
    </font>
    <font>
      <b/>
      <sz val="11"/>
      <color theme="1"/>
      <name val="Aptos Narrow"/>
      <scheme val="minor"/>
    </font>
    <font>
      <sz val="11"/>
      <color rgb="FF888888"/>
      <name val="Aptos Narrow"/>
      <scheme val="minor"/>
    </font>
    <font>
      <sz val="11"/>
      <color rgb="FF0000FF"/>
      <name val="Aptos Narrow"/>
      <scheme val="minor"/>
    </font>
    <font>
      <sz val="11"/>
      <color rgb="FF000000"/>
      <name val="Aptos Narrow"/>
      <scheme val="minor"/>
    </font>
    <font>
      <sz val="11"/>
      <color rgb="FF008000"/>
      <name val="Aptos Narrow"/>
      <scheme val="minor"/>
    </font>
    <font>
      <b/>
      <sz val="9"/>
      <color indexed="81"/>
      <name val="Tahoma"/>
      <charset val="1"/>
    </font>
    <font>
      <sz val="11"/>
      <name val="Aptos Narrow"/>
      <family val="2"/>
      <scheme val="minor"/>
    </font>
    <font>
      <b/>
      <sz val="11"/>
      <color rgb="FF9C0006"/>
      <name val="Aptos Narrow"/>
      <family val="2"/>
      <scheme val="minor"/>
    </font>
    <font>
      <i/>
      <sz val="11"/>
      <color rgb="FF888888"/>
      <name val="Aptos Narrow"/>
      <family val="2"/>
      <scheme val="minor"/>
    </font>
    <font>
      <sz val="11"/>
      <color rgb="FF000000"/>
      <name val="Aptos Narrow"/>
      <family val="2"/>
      <scheme val="minor"/>
    </font>
    <font>
      <b/>
      <sz val="9"/>
      <color indexed="81"/>
      <name val="Tahoma"/>
      <family val="2"/>
    </font>
  </fonts>
  <fills count="10">
    <fill>
      <patternFill patternType="none"/>
    </fill>
    <fill>
      <patternFill patternType="gray125"/>
    </fill>
    <fill>
      <patternFill patternType="solid">
        <fgColor rgb="FFD9E1F2"/>
        <bgColor indexed="64"/>
      </patternFill>
    </fill>
    <fill>
      <patternFill patternType="solid">
        <fgColor rgb="FFE2EFDA"/>
        <bgColor indexed="64"/>
      </patternFill>
    </fill>
    <fill>
      <patternFill patternType="solid">
        <fgColor rgb="FFFCE4D6"/>
        <bgColor indexed="64"/>
      </patternFill>
    </fill>
    <fill>
      <patternFill patternType="solid">
        <fgColor rgb="FFFFF2CC"/>
        <bgColor indexed="64"/>
      </patternFill>
    </fill>
    <fill>
      <patternFill patternType="solid">
        <fgColor rgb="FFFFFDE7"/>
        <bgColor indexed="64"/>
      </patternFill>
    </fill>
    <fill>
      <patternFill patternType="solid">
        <fgColor rgb="FFDDEBF7"/>
        <bgColor indexed="64"/>
      </patternFill>
    </fill>
    <fill>
      <patternFill patternType="solid">
        <fgColor rgb="FFFFC7CE"/>
        <bgColor indexed="64"/>
      </patternFill>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7">
    <xf numFmtId="0" fontId="0" fillId="0" borderId="0" xfId="0"/>
    <xf numFmtId="0" fontId="1" fillId="0" borderId="0" xfId="0" applyFont="1"/>
    <xf numFmtId="0" fontId="1" fillId="0" borderId="0" xfId="0" applyFont="1" applyAlignment="1">
      <alignment horizontal="center"/>
    </xf>
    <xf numFmtId="0" fontId="13" fillId="0" borderId="0" xfId="0" applyFont="1"/>
    <xf numFmtId="2" fontId="13" fillId="0" borderId="0" xfId="0" applyNumberFormat="1" applyFont="1" applyAlignment="1">
      <alignment horizontal="center"/>
    </xf>
    <xf numFmtId="0" fontId="7" fillId="0" borderId="0" xfId="0" applyFont="1"/>
    <xf numFmtId="0" fontId="6" fillId="0" borderId="0" xfId="0" applyFont="1"/>
    <xf numFmtId="0" fontId="9" fillId="0" borderId="0" xfId="0" applyFont="1" applyProtection="1">
      <protection locked="0"/>
    </xf>
    <xf numFmtId="0" fontId="11" fillId="0" borderId="0" xfId="0" applyFont="1"/>
    <xf numFmtId="0" fontId="4" fillId="0" borderId="0" xfId="0" applyFont="1" applyProtection="1">
      <protection locked="0"/>
    </xf>
    <xf numFmtId="0" fontId="10" fillId="0" borderId="0" xfId="0" applyFont="1"/>
    <xf numFmtId="0" fontId="8" fillId="0" borderId="0" xfId="0" applyFont="1"/>
    <xf numFmtId="0" fontId="2" fillId="0" borderId="0" xfId="0" applyFont="1"/>
    <xf numFmtId="0" fontId="3" fillId="0" borderId="0" xfId="0" applyFont="1"/>
    <xf numFmtId="0" fontId="1" fillId="2" borderId="0" xfId="0" applyFont="1" applyFill="1"/>
    <xf numFmtId="0" fontId="0" fillId="2" borderId="0" xfId="0" applyFill="1"/>
    <xf numFmtId="0" fontId="7" fillId="2" borderId="0" xfId="0" applyFont="1" applyFill="1"/>
    <xf numFmtId="0" fontId="9" fillId="6" borderId="0" xfId="0" applyFont="1" applyFill="1" applyProtection="1">
      <protection locked="0"/>
    </xf>
    <xf numFmtId="0" fontId="8" fillId="2" borderId="0" xfId="0" applyFont="1" applyFill="1"/>
    <xf numFmtId="3" fontId="4" fillId="6" borderId="1" xfId="0" applyNumberFormat="1" applyFont="1" applyFill="1" applyBorder="1" applyAlignment="1" applyProtection="1">
      <alignment horizontal="right"/>
      <protection locked="0"/>
    </xf>
    <xf numFmtId="0" fontId="5" fillId="0" borderId="0" xfId="0" applyFont="1"/>
    <xf numFmtId="164" fontId="4" fillId="6" borderId="1" xfId="0" applyNumberFormat="1" applyFont="1" applyFill="1" applyBorder="1" applyAlignment="1" applyProtection="1">
      <alignment horizontal="right"/>
      <protection locked="0"/>
    </xf>
    <xf numFmtId="168" fontId="4" fillId="6" borderId="1" xfId="0" applyNumberFormat="1" applyFont="1" applyFill="1" applyBorder="1" applyAlignment="1" applyProtection="1">
      <alignment horizontal="right"/>
      <protection locked="0"/>
    </xf>
    <xf numFmtId="0" fontId="4" fillId="6" borderId="1" xfId="0" applyFont="1" applyFill="1" applyBorder="1" applyProtection="1">
      <protection locked="0"/>
    </xf>
    <xf numFmtId="0" fontId="1" fillId="7" borderId="0" xfId="0" applyFont="1" applyFill="1"/>
    <xf numFmtId="0" fontId="0" fillId="7" borderId="0" xfId="0" applyFill="1"/>
    <xf numFmtId="3" fontId="0" fillId="0" borderId="0" xfId="0" applyNumberFormat="1"/>
    <xf numFmtId="165" fontId="0" fillId="0" borderId="0" xfId="0" applyNumberFormat="1"/>
    <xf numFmtId="171" fontId="0" fillId="0" borderId="0" xfId="0" applyNumberFormat="1"/>
    <xf numFmtId="0" fontId="1" fillId="3" borderId="0" xfId="0" applyFont="1" applyFill="1"/>
    <xf numFmtId="0" fontId="0" fillId="3" borderId="0" xfId="0" applyFill="1"/>
    <xf numFmtId="166" fontId="0" fillId="0" borderId="0" xfId="0" applyNumberFormat="1"/>
    <xf numFmtId="166" fontId="1" fillId="0" borderId="0" xfId="0" applyNumberFormat="1" applyFont="1"/>
    <xf numFmtId="169" fontId="0" fillId="0" borderId="0" xfId="0" applyNumberFormat="1"/>
    <xf numFmtId="173" fontId="6" fillId="0" borderId="0" xfId="0" applyNumberFormat="1" applyFont="1"/>
    <xf numFmtId="0" fontId="1" fillId="4" borderId="0" xfId="0" applyFont="1" applyFill="1"/>
    <xf numFmtId="0" fontId="0" fillId="4" borderId="0" xfId="0" applyFill="1"/>
    <xf numFmtId="0" fontId="1" fillId="5" borderId="0" xfId="0" applyFont="1" applyFill="1"/>
    <xf numFmtId="0" fontId="0" fillId="5" borderId="0" xfId="0" applyFill="1"/>
    <xf numFmtId="167" fontId="0" fillId="0" borderId="0" xfId="0" applyNumberFormat="1"/>
    <xf numFmtId="169" fontId="6" fillId="0" borderId="0" xfId="0" applyNumberFormat="1" applyFont="1"/>
    <xf numFmtId="174" fontId="1" fillId="0" borderId="0" xfId="0" applyNumberFormat="1" applyFont="1"/>
    <xf numFmtId="174" fontId="5" fillId="0" borderId="0" xfId="0" applyNumberFormat="1" applyFont="1"/>
    <xf numFmtId="0" fontId="16" fillId="0" borderId="0" xfId="0" applyFont="1"/>
    <xf numFmtId="177" fontId="14" fillId="8" borderId="0" xfId="0" applyNumberFormat="1" applyFont="1" applyFill="1"/>
    <xf numFmtId="176" fontId="5" fillId="0" borderId="0" xfId="0" applyNumberFormat="1" applyFont="1"/>
    <xf numFmtId="3" fontId="5" fillId="0" borderId="0" xfId="0" applyNumberFormat="1" applyFont="1"/>
    <xf numFmtId="0" fontId="15" fillId="0" borderId="0" xfId="0" applyFont="1"/>
    <xf numFmtId="166" fontId="16" fillId="0" borderId="0" xfId="0" applyNumberFormat="1" applyFont="1"/>
    <xf numFmtId="170" fontId="0" fillId="0" borderId="0" xfId="0" applyNumberFormat="1"/>
    <xf numFmtId="175" fontId="0" fillId="0" borderId="0" xfId="0" applyNumberFormat="1"/>
    <xf numFmtId="3" fontId="16" fillId="0" borderId="0" xfId="0" applyNumberFormat="1" applyFont="1"/>
    <xf numFmtId="3" fontId="16" fillId="9" borderId="1" xfId="0" applyNumberFormat="1" applyFont="1" applyFill="1" applyBorder="1" applyAlignment="1" applyProtection="1">
      <alignment horizontal="right"/>
      <protection locked="0"/>
    </xf>
    <xf numFmtId="0" fontId="4" fillId="0" borderId="0" xfId="0" applyFont="1" applyAlignment="1" applyProtection="1">
      <alignment horizontal="right"/>
      <protection locked="0"/>
    </xf>
    <xf numFmtId="0" fontId="9" fillId="0" borderId="0" xfId="0" applyFont="1" applyAlignment="1" applyProtection="1">
      <alignment horizontal="right"/>
      <protection locked="0"/>
    </xf>
    <xf numFmtId="0" fontId="0" fillId="0" borderId="0" xfId="0" applyAlignment="1">
      <alignment horizontal="left" vertical="top" wrapText="1"/>
    </xf>
    <xf numFmtId="178" fontId="1" fillId="0" borderId="0" xfId="0" applyNumberFormat="1" applyFont="1"/>
  </cellXfs>
  <cellStyles count="1">
    <cellStyle name="Normaali" xfId="0" builtinId="0"/>
  </cellStyles>
  <dxfs count="3">
    <dxf>
      <font>
        <b/>
        <i val="0"/>
        <color rgb="FF9C0006"/>
      </font>
      <fill>
        <patternFill patternType="solid">
          <fgColor indexed="64"/>
          <bgColor rgb="FFFFC7CE"/>
        </patternFill>
      </fill>
    </dxf>
    <dxf>
      <font>
        <color rgb="FF9C0006"/>
      </font>
      <fill>
        <patternFill patternType="solid">
          <fgColor indexed="64"/>
          <bgColor rgb="FFFFC7CE"/>
        </patternFill>
      </fill>
    </dxf>
    <dxf>
      <font>
        <color rgb="FF006100"/>
      </font>
      <fill>
        <patternFill patternType="solid">
          <fgColor indexed="64"/>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CC08C34-0BD8-4468-A708-0940DB5D3903}">
  <we:reference id="29673e3c-d826-4f00-92ee-162334a52b1a" version="1.0.0.8" store="EXCatalog" storeType="EXCatalog"/>
  <we:alternateReferences>
    <we:reference id="WA200009404" version="1.0.0.8" store="fi-FI" storeType="OMEX"/>
  </we:alternateReferences>
  <we:properties>
    <we:property name="claude.fileId" value="&quot;8156d2c7-229d-44f5-aeda-bec381a76bab&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9923-C935-4350-9F7E-9BC38B21FDDF}">
  <dimension ref="A1:H30"/>
  <sheetViews>
    <sheetView tabSelected="1" workbookViewId="0">
      <selection activeCell="C36" sqref="C36"/>
    </sheetView>
  </sheetViews>
  <sheetFormatPr defaultRowHeight="15" x14ac:dyDescent="0.25"/>
  <cols>
    <col min="1" max="1" width="20.140625" customWidth="1"/>
    <col min="2" max="3" width="17.7109375" customWidth="1"/>
    <col min="4" max="4" width="13.5703125" customWidth="1"/>
  </cols>
  <sheetData>
    <row r="1" spans="1:8" x14ac:dyDescent="0.25">
      <c r="A1" s="55" t="s">
        <v>28</v>
      </c>
      <c r="B1" s="55"/>
      <c r="C1" s="55"/>
      <c r="D1" s="55"/>
      <c r="E1" s="55"/>
      <c r="F1" s="55"/>
      <c r="G1" s="55"/>
      <c r="H1" s="55"/>
    </row>
    <row r="2" spans="1:8" x14ac:dyDescent="0.25">
      <c r="A2" s="55"/>
      <c r="B2" s="55"/>
      <c r="C2" s="55"/>
      <c r="D2" s="55"/>
      <c r="E2" s="55"/>
      <c r="F2" s="55"/>
      <c r="G2" s="55"/>
      <c r="H2" s="55"/>
    </row>
    <row r="3" spans="1:8" x14ac:dyDescent="0.25">
      <c r="A3" s="55"/>
      <c r="B3" s="55"/>
      <c r="C3" s="55"/>
      <c r="D3" s="55"/>
      <c r="E3" s="55"/>
      <c r="F3" s="55"/>
      <c r="G3" s="55"/>
      <c r="H3" s="55"/>
    </row>
    <row r="4" spans="1:8" ht="15" customHeight="1" x14ac:dyDescent="0.25">
      <c r="A4" s="55"/>
      <c r="B4" s="55"/>
      <c r="C4" s="55"/>
      <c r="D4" s="55"/>
      <c r="E4" s="55"/>
      <c r="F4" s="55"/>
      <c r="G4" s="55"/>
      <c r="H4" s="55"/>
    </row>
    <row r="5" spans="1:8" x14ac:dyDescent="0.25">
      <c r="A5" s="55"/>
      <c r="B5" s="55"/>
      <c r="C5" s="55"/>
      <c r="D5" s="55"/>
      <c r="E5" s="55"/>
      <c r="F5" s="55"/>
      <c r="G5" s="55"/>
      <c r="H5" s="55"/>
    </row>
    <row r="6" spans="1:8" x14ac:dyDescent="0.25">
      <c r="A6" s="55"/>
      <c r="B6" s="55"/>
      <c r="C6" s="55"/>
      <c r="D6" s="55"/>
      <c r="E6" s="55"/>
      <c r="F6" s="55"/>
      <c r="G6" s="55"/>
      <c r="H6" s="55"/>
    </row>
    <row r="7" spans="1:8" x14ac:dyDescent="0.25">
      <c r="A7" s="55"/>
      <c r="B7" s="55"/>
      <c r="C7" s="55"/>
      <c r="D7" s="55"/>
      <c r="E7" s="55"/>
      <c r="F7" s="55"/>
      <c r="G7" s="55"/>
      <c r="H7" s="55"/>
    </row>
    <row r="8" spans="1:8" x14ac:dyDescent="0.25">
      <c r="A8" s="55"/>
      <c r="B8" s="55"/>
      <c r="C8" s="55"/>
      <c r="D8" s="55"/>
      <c r="E8" s="55"/>
      <c r="F8" s="55"/>
      <c r="G8" s="55"/>
      <c r="H8" s="55"/>
    </row>
    <row r="9" spans="1:8" x14ac:dyDescent="0.25">
      <c r="A9" s="55"/>
      <c r="B9" s="55"/>
      <c r="C9" s="55"/>
      <c r="D9" s="55"/>
      <c r="E9" s="55"/>
      <c r="F9" s="55"/>
      <c r="G9" s="55"/>
      <c r="H9" s="55"/>
    </row>
    <row r="10" spans="1:8" x14ac:dyDescent="0.25">
      <c r="A10" s="55"/>
      <c r="B10" s="55"/>
      <c r="C10" s="55"/>
      <c r="D10" s="55"/>
      <c r="E10" s="55"/>
      <c r="F10" s="55"/>
      <c r="G10" s="55"/>
      <c r="H10" s="55"/>
    </row>
    <row r="11" spans="1:8" x14ac:dyDescent="0.25">
      <c r="A11" s="55"/>
      <c r="B11" s="55"/>
      <c r="C11" s="55"/>
      <c r="D11" s="55"/>
      <c r="E11" s="55"/>
      <c r="F11" s="55"/>
      <c r="G11" s="55"/>
      <c r="H11" s="55"/>
    </row>
    <row r="12" spans="1:8" x14ac:dyDescent="0.25">
      <c r="A12" s="55"/>
      <c r="B12" s="55"/>
      <c r="C12" s="55"/>
      <c r="D12" s="55"/>
      <c r="E12" s="55"/>
      <c r="F12" s="55"/>
      <c r="G12" s="55"/>
      <c r="H12" s="55"/>
    </row>
    <row r="13" spans="1:8" x14ac:dyDescent="0.25">
      <c r="A13" s="55"/>
      <c r="B13" s="55"/>
      <c r="C13" s="55"/>
      <c r="D13" s="55"/>
      <c r="E13" s="55"/>
      <c r="F13" s="55"/>
      <c r="G13" s="55"/>
      <c r="H13" s="55"/>
    </row>
    <row r="14" spans="1:8" x14ac:dyDescent="0.25">
      <c r="A14" s="55"/>
      <c r="B14" s="55"/>
      <c r="C14" s="55"/>
      <c r="D14" s="55"/>
      <c r="E14" s="55"/>
      <c r="F14" s="55"/>
      <c r="G14" s="55"/>
      <c r="H14" s="55"/>
    </row>
    <row r="15" spans="1:8" x14ac:dyDescent="0.25">
      <c r="A15" s="55"/>
      <c r="B15" s="55"/>
      <c r="C15" s="55"/>
      <c r="D15" s="55"/>
      <c r="E15" s="55"/>
      <c r="F15" s="55"/>
      <c r="G15" s="55"/>
      <c r="H15" s="55"/>
    </row>
    <row r="16" spans="1:8" x14ac:dyDescent="0.25">
      <c r="A16" s="55"/>
      <c r="B16" s="55"/>
      <c r="C16" s="55"/>
      <c r="D16" s="55"/>
      <c r="E16" s="55"/>
      <c r="F16" s="55"/>
      <c r="G16" s="55"/>
      <c r="H16" s="55"/>
    </row>
    <row r="17" spans="1:8" x14ac:dyDescent="0.25">
      <c r="A17" s="55"/>
      <c r="B17" s="55"/>
      <c r="C17" s="55"/>
      <c r="D17" s="55"/>
      <c r="E17" s="55"/>
      <c r="F17" s="55"/>
      <c r="G17" s="55"/>
      <c r="H17" s="55"/>
    </row>
    <row r="18" spans="1:8" x14ac:dyDescent="0.25">
      <c r="A18" s="55"/>
      <c r="B18" s="55"/>
      <c r="C18" s="55"/>
      <c r="D18" s="55"/>
      <c r="E18" s="55"/>
      <c r="F18" s="55"/>
      <c r="G18" s="55"/>
      <c r="H18" s="55"/>
    </row>
    <row r="19" spans="1:8" x14ac:dyDescent="0.25">
      <c r="A19" s="55"/>
      <c r="B19" s="55"/>
      <c r="C19" s="55"/>
      <c r="D19" s="55"/>
      <c r="E19" s="55"/>
      <c r="F19" s="55"/>
      <c r="G19" s="55"/>
      <c r="H19" s="55"/>
    </row>
    <row r="20" spans="1:8" x14ac:dyDescent="0.25">
      <c r="A20" s="55"/>
      <c r="B20" s="55"/>
      <c r="C20" s="55"/>
      <c r="D20" s="55"/>
      <c r="E20" s="55"/>
      <c r="F20" s="55"/>
      <c r="G20" s="55"/>
      <c r="H20" s="55"/>
    </row>
    <row r="21" spans="1:8" x14ac:dyDescent="0.25">
      <c r="A21" s="55"/>
      <c r="B21" s="55"/>
      <c r="C21" s="55"/>
      <c r="D21" s="55"/>
      <c r="E21" s="55"/>
      <c r="F21" s="55"/>
      <c r="G21" s="55"/>
      <c r="H21" s="55"/>
    </row>
    <row r="22" spans="1:8" x14ac:dyDescent="0.25">
      <c r="A22" s="55"/>
      <c r="B22" s="55"/>
      <c r="C22" s="55"/>
      <c r="D22" s="55"/>
      <c r="E22" s="55"/>
      <c r="F22" s="55"/>
      <c r="G22" s="55"/>
      <c r="H22" s="55"/>
    </row>
    <row r="23" spans="1:8" x14ac:dyDescent="0.25">
      <c r="A23" s="55"/>
      <c r="B23" s="55"/>
      <c r="C23" s="55"/>
      <c r="D23" s="55"/>
      <c r="E23" s="55"/>
      <c r="F23" s="55"/>
      <c r="G23" s="55"/>
      <c r="H23" s="55"/>
    </row>
    <row r="24" spans="1:8" x14ac:dyDescent="0.25">
      <c r="A24" s="55"/>
      <c r="B24" s="55"/>
      <c r="C24" s="55"/>
      <c r="D24" s="55"/>
      <c r="E24" s="55"/>
      <c r="F24" s="55"/>
      <c r="G24" s="55"/>
      <c r="H24" s="55"/>
    </row>
    <row r="25" spans="1:8" x14ac:dyDescent="0.25">
      <c r="A25" s="55"/>
      <c r="B25" s="55"/>
      <c r="C25" s="55"/>
      <c r="D25" s="55"/>
      <c r="E25" s="55"/>
      <c r="F25" s="55"/>
      <c r="G25" s="55"/>
      <c r="H25" s="55"/>
    </row>
    <row r="26" spans="1:8" x14ac:dyDescent="0.25">
      <c r="A26" s="55"/>
      <c r="B26" s="55"/>
      <c r="C26" s="55"/>
      <c r="D26" s="55"/>
      <c r="E26" s="55"/>
      <c r="F26" s="55"/>
      <c r="G26" s="55"/>
      <c r="H26" s="55"/>
    </row>
    <row r="27" spans="1:8" x14ac:dyDescent="0.25">
      <c r="A27" s="55"/>
      <c r="B27" s="55"/>
      <c r="C27" s="55"/>
      <c r="D27" s="55"/>
      <c r="E27" s="55"/>
      <c r="F27" s="55"/>
      <c r="G27" s="55"/>
      <c r="H27" s="55"/>
    </row>
    <row r="28" spans="1:8" x14ac:dyDescent="0.25">
      <c r="A28" s="55"/>
      <c r="B28" s="55"/>
      <c r="C28" s="55"/>
      <c r="D28" s="55"/>
      <c r="E28" s="55"/>
      <c r="F28" s="55"/>
      <c r="G28" s="55"/>
      <c r="H28" s="55"/>
    </row>
    <row r="29" spans="1:8" x14ac:dyDescent="0.25">
      <c r="A29" s="55"/>
      <c r="B29" s="55"/>
      <c r="C29" s="55"/>
      <c r="D29" s="55"/>
      <c r="E29" s="55"/>
      <c r="F29" s="55"/>
      <c r="G29" s="55"/>
      <c r="H29" s="55"/>
    </row>
    <row r="30" spans="1:8" x14ac:dyDescent="0.25">
      <c r="A30" s="55"/>
      <c r="B30" s="55"/>
      <c r="C30" s="55"/>
      <c r="D30" s="55"/>
      <c r="E30" s="55"/>
      <c r="F30" s="55"/>
      <c r="G30" s="55"/>
      <c r="H30" s="55"/>
    </row>
  </sheetData>
  <sheetProtection sheet="1" objects="1" scenarios="1"/>
  <mergeCells count="1">
    <mergeCell ref="A1:H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57B55-8F13-4541-9C34-A6F508600DF7}">
  <dimension ref="A1:G20"/>
  <sheetViews>
    <sheetView workbookViewId="0">
      <selection activeCell="F31" sqref="F31"/>
    </sheetView>
  </sheetViews>
  <sheetFormatPr defaultRowHeight="15" x14ac:dyDescent="0.25"/>
  <cols>
    <col min="1" max="2" width="18.7109375" customWidth="1"/>
    <col min="5" max="5" width="18.7109375" customWidth="1"/>
  </cols>
  <sheetData>
    <row r="1" spans="1:7" x14ac:dyDescent="0.25">
      <c r="A1" t="s">
        <v>29</v>
      </c>
    </row>
    <row r="3" spans="1:7" x14ac:dyDescent="0.25">
      <c r="A3" s="1" t="s">
        <v>30</v>
      </c>
      <c r="B3" s="1" t="s">
        <v>31</v>
      </c>
      <c r="C3" s="2" t="s">
        <v>32</v>
      </c>
      <c r="D3" s="2" t="s">
        <v>33</v>
      </c>
      <c r="E3" s="1" t="s">
        <v>34</v>
      </c>
      <c r="F3" s="2" t="s">
        <v>35</v>
      </c>
      <c r="G3" s="2" t="s">
        <v>33</v>
      </c>
    </row>
    <row r="4" spans="1:7" x14ac:dyDescent="0.25">
      <c r="A4" s="3" t="s">
        <v>5</v>
      </c>
      <c r="B4" s="3" t="s">
        <v>27</v>
      </c>
      <c r="C4" s="4">
        <v>1.25</v>
      </c>
      <c r="D4" s="4">
        <f>+C4/1.135</f>
        <v>1.1013215859030836</v>
      </c>
      <c r="E4" s="3" t="s">
        <v>3</v>
      </c>
      <c r="F4" s="4">
        <v>1.29</v>
      </c>
      <c r="G4" s="4">
        <f>+F4/1.135</f>
        <v>1.1365638766519823</v>
      </c>
    </row>
    <row r="5" spans="1:7" x14ac:dyDescent="0.25">
      <c r="A5" s="3" t="s">
        <v>6</v>
      </c>
      <c r="B5" s="3" t="s">
        <v>2</v>
      </c>
      <c r="C5" s="4">
        <v>1.35</v>
      </c>
      <c r="D5" s="4">
        <f t="shared" ref="D5:D20" si="0">+C5/1.135</f>
        <v>1.1894273127753305</v>
      </c>
      <c r="E5" s="3" t="s">
        <v>27</v>
      </c>
      <c r="F5" s="4">
        <v>1.36</v>
      </c>
      <c r="G5" s="4">
        <f t="shared" ref="G5:G20" si="1">+F5/1.135</f>
        <v>1.1982378854625551</v>
      </c>
    </row>
    <row r="6" spans="1:7" x14ac:dyDescent="0.25">
      <c r="A6" s="3" t="s">
        <v>7</v>
      </c>
      <c r="B6" s="3" t="s">
        <v>8</v>
      </c>
      <c r="C6" s="4">
        <v>1.32</v>
      </c>
      <c r="D6" s="4">
        <f t="shared" si="0"/>
        <v>1.1629955947136565</v>
      </c>
      <c r="E6" s="3" t="s">
        <v>9</v>
      </c>
      <c r="F6" s="4">
        <v>1.4</v>
      </c>
      <c r="G6" s="4">
        <f t="shared" si="1"/>
        <v>1.2334801762114536</v>
      </c>
    </row>
    <row r="7" spans="1:7" x14ac:dyDescent="0.25">
      <c r="A7" s="3" t="s">
        <v>10</v>
      </c>
      <c r="B7" s="3" t="s">
        <v>11</v>
      </c>
      <c r="C7" s="4">
        <v>1.33</v>
      </c>
      <c r="D7" s="4">
        <f t="shared" si="0"/>
        <v>1.1718061674008811</v>
      </c>
      <c r="E7" s="3" t="s">
        <v>8</v>
      </c>
      <c r="F7" s="4">
        <v>1.4</v>
      </c>
      <c r="G7" s="4">
        <f t="shared" si="1"/>
        <v>1.2334801762114536</v>
      </c>
    </row>
    <row r="8" spans="1:7" x14ac:dyDescent="0.25">
      <c r="A8" s="3" t="s">
        <v>12</v>
      </c>
      <c r="B8" s="3" t="s">
        <v>11</v>
      </c>
      <c r="C8" s="4">
        <v>1.33</v>
      </c>
      <c r="D8" s="4">
        <f t="shared" si="0"/>
        <v>1.1718061674008811</v>
      </c>
      <c r="E8" s="3" t="s">
        <v>2</v>
      </c>
      <c r="F8" s="4">
        <v>1.39</v>
      </c>
      <c r="G8" s="4">
        <f t="shared" si="1"/>
        <v>1.224669603524229</v>
      </c>
    </row>
    <row r="9" spans="1:7" x14ac:dyDescent="0.25">
      <c r="A9" s="3" t="s">
        <v>13</v>
      </c>
      <c r="B9" s="3" t="s">
        <v>2</v>
      </c>
      <c r="C9" s="4">
        <v>1.45</v>
      </c>
      <c r="D9" s="4">
        <f t="shared" si="0"/>
        <v>1.277533039647577</v>
      </c>
      <c r="E9" s="3" t="s">
        <v>3</v>
      </c>
      <c r="F9" s="4">
        <v>1.56</v>
      </c>
      <c r="G9" s="4">
        <f t="shared" si="1"/>
        <v>1.3744493392070485</v>
      </c>
    </row>
    <row r="10" spans="1:7" x14ac:dyDescent="0.25">
      <c r="A10" s="3" t="s">
        <v>14</v>
      </c>
      <c r="B10" s="3" t="s">
        <v>8</v>
      </c>
      <c r="C10" s="4">
        <v>1.38</v>
      </c>
      <c r="D10" s="4">
        <f t="shared" si="0"/>
        <v>1.2158590308370043</v>
      </c>
      <c r="E10" s="3" t="s">
        <v>27</v>
      </c>
      <c r="F10" s="4">
        <v>1.46</v>
      </c>
      <c r="G10" s="4">
        <f t="shared" si="1"/>
        <v>1.2863436123348018</v>
      </c>
    </row>
    <row r="11" spans="1:7" x14ac:dyDescent="0.25">
      <c r="A11" s="3" t="s">
        <v>15</v>
      </c>
      <c r="B11" s="3" t="s">
        <v>16</v>
      </c>
      <c r="C11" s="4">
        <v>1.32</v>
      </c>
      <c r="D11" s="4">
        <f t="shared" si="0"/>
        <v>1.1629955947136565</v>
      </c>
      <c r="E11" s="3" t="s">
        <v>2</v>
      </c>
      <c r="F11" s="4">
        <v>1.41</v>
      </c>
      <c r="G11" s="4">
        <f t="shared" si="1"/>
        <v>1.2422907488986783</v>
      </c>
    </row>
    <row r="12" spans="1:7" x14ac:dyDescent="0.25">
      <c r="A12" s="3" t="s">
        <v>17</v>
      </c>
      <c r="B12" s="3" t="s">
        <v>27</v>
      </c>
      <c r="C12" s="4">
        <v>1.36</v>
      </c>
      <c r="D12" s="4">
        <f t="shared" si="0"/>
        <v>1.1982378854625551</v>
      </c>
      <c r="E12" s="3" t="s">
        <v>3</v>
      </c>
      <c r="F12" s="4">
        <v>1.39</v>
      </c>
      <c r="G12" s="4">
        <f t="shared" si="1"/>
        <v>1.224669603524229</v>
      </c>
    </row>
    <row r="13" spans="1:7" x14ac:dyDescent="0.25">
      <c r="A13" s="3" t="s">
        <v>4</v>
      </c>
      <c r="B13" s="3" t="s">
        <v>2</v>
      </c>
      <c r="C13" s="4">
        <v>1.32</v>
      </c>
      <c r="D13" s="4">
        <f t="shared" si="0"/>
        <v>1.1629955947136565</v>
      </c>
      <c r="E13" s="3" t="s">
        <v>3</v>
      </c>
      <c r="F13" s="4">
        <v>1.33</v>
      </c>
      <c r="G13" s="4">
        <f t="shared" si="1"/>
        <v>1.1718061674008811</v>
      </c>
    </row>
    <row r="14" spans="1:7" x14ac:dyDescent="0.25">
      <c r="A14" s="3" t="s">
        <v>18</v>
      </c>
      <c r="B14" s="3" t="s">
        <v>19</v>
      </c>
      <c r="C14" s="4">
        <v>1.38</v>
      </c>
      <c r="D14" s="4">
        <f t="shared" si="0"/>
        <v>1.2158590308370043</v>
      </c>
      <c r="E14" s="3" t="s">
        <v>8</v>
      </c>
      <c r="F14" s="4">
        <v>1.4</v>
      </c>
      <c r="G14" s="4">
        <f t="shared" si="1"/>
        <v>1.2334801762114536</v>
      </c>
    </row>
    <row r="15" spans="1:7" x14ac:dyDescent="0.25">
      <c r="A15" s="3" t="s">
        <v>20</v>
      </c>
      <c r="B15" s="3" t="s">
        <v>9</v>
      </c>
      <c r="C15" s="4">
        <v>1.3</v>
      </c>
      <c r="D15" s="4">
        <f t="shared" si="0"/>
        <v>1.1453744493392071</v>
      </c>
      <c r="E15" s="3" t="s">
        <v>2</v>
      </c>
      <c r="F15" s="4">
        <v>1.32</v>
      </c>
      <c r="G15" s="4">
        <f t="shared" si="1"/>
        <v>1.1629955947136565</v>
      </c>
    </row>
    <row r="16" spans="1:7" x14ac:dyDescent="0.25">
      <c r="A16" s="3" t="s">
        <v>21</v>
      </c>
      <c r="B16" s="3" t="s">
        <v>3</v>
      </c>
      <c r="C16" s="4">
        <v>1.52</v>
      </c>
      <c r="D16" s="4">
        <f t="shared" si="0"/>
        <v>1.3392070484581498</v>
      </c>
      <c r="E16" s="3" t="s">
        <v>22</v>
      </c>
      <c r="F16" s="4">
        <v>1.58</v>
      </c>
      <c r="G16" s="4">
        <f t="shared" si="1"/>
        <v>1.392070484581498</v>
      </c>
    </row>
    <row r="17" spans="1:7" x14ac:dyDescent="0.25">
      <c r="A17" s="3" t="s">
        <v>23</v>
      </c>
      <c r="B17" s="3" t="s">
        <v>2</v>
      </c>
      <c r="C17" s="4">
        <v>1.33</v>
      </c>
      <c r="D17" s="4">
        <f t="shared" si="0"/>
        <v>1.1718061674008811</v>
      </c>
      <c r="E17" s="3" t="s">
        <v>11</v>
      </c>
      <c r="F17" s="4">
        <v>1.33</v>
      </c>
      <c r="G17" s="4">
        <f t="shared" si="1"/>
        <v>1.1718061674008811</v>
      </c>
    </row>
    <row r="18" spans="1:7" x14ac:dyDescent="0.25">
      <c r="A18" s="3" t="s">
        <v>24</v>
      </c>
      <c r="B18" s="3" t="s">
        <v>2</v>
      </c>
      <c r="C18" s="4">
        <v>1.37</v>
      </c>
      <c r="D18" s="4">
        <f t="shared" si="0"/>
        <v>1.2070484581497798</v>
      </c>
      <c r="E18" s="3" t="s">
        <v>9</v>
      </c>
      <c r="F18" s="4">
        <v>1.4</v>
      </c>
      <c r="G18" s="4">
        <f t="shared" si="1"/>
        <v>1.2334801762114536</v>
      </c>
    </row>
    <row r="19" spans="1:7" x14ac:dyDescent="0.25">
      <c r="A19" s="3" t="s">
        <v>25</v>
      </c>
      <c r="B19" s="3" t="s">
        <v>2</v>
      </c>
      <c r="C19" s="4">
        <v>1.39</v>
      </c>
      <c r="D19" s="4">
        <f t="shared" si="0"/>
        <v>1.224669603524229</v>
      </c>
      <c r="E19" s="3" t="s">
        <v>9</v>
      </c>
      <c r="F19" s="4">
        <v>1.42</v>
      </c>
      <c r="G19" s="4">
        <f t="shared" si="1"/>
        <v>1.251101321585903</v>
      </c>
    </row>
    <row r="20" spans="1:7" x14ac:dyDescent="0.25">
      <c r="A20" s="3" t="s">
        <v>26</v>
      </c>
      <c r="B20" s="3" t="s">
        <v>27</v>
      </c>
      <c r="C20" s="4">
        <v>1.4</v>
      </c>
      <c r="D20" s="4">
        <f t="shared" si="0"/>
        <v>1.2334801762114536</v>
      </c>
      <c r="E20" s="3" t="s">
        <v>2</v>
      </c>
      <c r="F20" s="4">
        <v>1.45</v>
      </c>
      <c r="G20" s="4">
        <f t="shared" si="1"/>
        <v>1.277533039647577</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16A25-23B2-46AC-9F68-99701940E206}">
  <dimension ref="A1:J31"/>
  <sheetViews>
    <sheetView workbookViewId="0">
      <selection activeCell="G37" sqref="G37"/>
    </sheetView>
  </sheetViews>
  <sheetFormatPr defaultRowHeight="15" x14ac:dyDescent="0.25"/>
  <cols>
    <col min="1" max="1" width="42" customWidth="1"/>
  </cols>
  <sheetData>
    <row r="1" spans="1:10" x14ac:dyDescent="0.25">
      <c r="A1" s="1" t="s">
        <v>36</v>
      </c>
      <c r="B1" s="53" t="s">
        <v>3</v>
      </c>
      <c r="D1" s="54" t="s">
        <v>2</v>
      </c>
      <c r="H1" s="5" t="s">
        <v>68</v>
      </c>
    </row>
    <row r="2" spans="1:10" x14ac:dyDescent="0.25">
      <c r="A2" s="6" t="s">
        <v>37</v>
      </c>
      <c r="B2" s="7" t="s">
        <v>64</v>
      </c>
      <c r="D2" s="7" t="s">
        <v>65</v>
      </c>
      <c r="H2" s="8" t="str">
        <f>Calculator!$B$5</f>
        <v>K-S MYK</v>
      </c>
    </row>
    <row r="3" spans="1:10" x14ac:dyDescent="0.25">
      <c r="A3" s="1" t="s">
        <v>38</v>
      </c>
    </row>
    <row r="4" spans="1:10" x14ac:dyDescent="0.25">
      <c r="A4" s="1" t="s">
        <v>39</v>
      </c>
      <c r="I4" s="5" t="s">
        <v>69</v>
      </c>
      <c r="J4" s="5" t="s">
        <v>70</v>
      </c>
    </row>
    <row r="5" spans="1:10" x14ac:dyDescent="0.25">
      <c r="A5" t="s">
        <v>40</v>
      </c>
      <c r="B5" s="9">
        <v>1.17</v>
      </c>
      <c r="C5" s="9"/>
      <c r="D5" s="9">
        <v>1.1599999999999999</v>
      </c>
      <c r="E5" s="9"/>
      <c r="I5">
        <f t="shared" ref="I5:I10" si="0">IF($H$2=$B$1,B5,D5)</f>
        <v>1.17</v>
      </c>
    </row>
    <row r="6" spans="1:10" x14ac:dyDescent="0.25">
      <c r="A6" t="s">
        <v>41</v>
      </c>
      <c r="B6" s="9">
        <v>1.5</v>
      </c>
      <c r="C6" s="9"/>
      <c r="D6" s="9">
        <v>0</v>
      </c>
      <c r="E6" s="9"/>
      <c r="I6">
        <f t="shared" si="0"/>
        <v>1.5</v>
      </c>
    </row>
    <row r="7" spans="1:10" x14ac:dyDescent="0.25">
      <c r="A7" t="s">
        <v>42</v>
      </c>
      <c r="B7" s="9">
        <v>4.28</v>
      </c>
      <c r="C7" s="9"/>
      <c r="D7" s="9">
        <v>0</v>
      </c>
      <c r="E7" s="9"/>
      <c r="I7">
        <f t="shared" si="0"/>
        <v>4.28</v>
      </c>
    </row>
    <row r="8" spans="1:10" x14ac:dyDescent="0.25">
      <c r="A8" t="s">
        <v>43</v>
      </c>
      <c r="B8" s="9">
        <v>34.159999999999997</v>
      </c>
      <c r="C8" s="9"/>
      <c r="D8" s="9">
        <v>0</v>
      </c>
      <c r="E8" s="9"/>
      <c r="I8">
        <f t="shared" si="0"/>
        <v>34.159999999999997</v>
      </c>
    </row>
    <row r="9" spans="1:10" x14ac:dyDescent="0.25">
      <c r="A9" t="s">
        <v>44</v>
      </c>
      <c r="B9" s="9">
        <v>11.4</v>
      </c>
      <c r="C9" s="9"/>
      <c r="D9" s="9">
        <v>0</v>
      </c>
      <c r="E9" s="9"/>
      <c r="I9">
        <f t="shared" si="0"/>
        <v>11.4</v>
      </c>
    </row>
    <row r="10" spans="1:10" x14ac:dyDescent="0.25">
      <c r="A10" t="s">
        <v>45</v>
      </c>
      <c r="B10" s="9">
        <v>21.85</v>
      </c>
      <c r="C10" s="9"/>
      <c r="D10" s="9">
        <v>0</v>
      </c>
      <c r="E10" s="9"/>
      <c r="I10">
        <f t="shared" si="0"/>
        <v>21.85</v>
      </c>
    </row>
    <row r="11" spans="1:10" x14ac:dyDescent="0.25">
      <c r="A11" s="1" t="s">
        <v>46</v>
      </c>
      <c r="B11" s="9"/>
      <c r="C11" s="9"/>
      <c r="D11" s="9"/>
      <c r="E11" s="9"/>
    </row>
    <row r="12" spans="1:10" x14ac:dyDescent="0.25">
      <c r="A12" t="s">
        <v>47</v>
      </c>
      <c r="B12" s="9">
        <v>125</v>
      </c>
      <c r="C12" s="9"/>
      <c r="D12" s="9">
        <v>0</v>
      </c>
      <c r="E12" s="9"/>
      <c r="I12">
        <f t="shared" ref="I12:I18" si="1">IF($H$2=$B$1,B12,D12)</f>
        <v>125</v>
      </c>
    </row>
    <row r="13" spans="1:10" x14ac:dyDescent="0.25">
      <c r="A13" t="s">
        <v>48</v>
      </c>
      <c r="B13" s="9">
        <v>200</v>
      </c>
      <c r="C13" s="9"/>
      <c r="D13" s="9">
        <v>0</v>
      </c>
      <c r="E13" s="9"/>
      <c r="I13">
        <f t="shared" si="1"/>
        <v>200</v>
      </c>
    </row>
    <row r="14" spans="1:10" x14ac:dyDescent="0.25">
      <c r="A14" t="s">
        <v>49</v>
      </c>
      <c r="B14" s="9">
        <v>250</v>
      </c>
      <c r="C14" s="9"/>
      <c r="D14" s="9">
        <v>0</v>
      </c>
      <c r="E14" s="9"/>
      <c r="I14">
        <f t="shared" si="1"/>
        <v>250</v>
      </c>
    </row>
    <row r="15" spans="1:10" x14ac:dyDescent="0.25">
      <c r="A15" t="s">
        <v>50</v>
      </c>
      <c r="B15" s="9">
        <v>250</v>
      </c>
      <c r="C15" s="9"/>
      <c r="D15" s="9">
        <v>0</v>
      </c>
      <c r="E15" s="9"/>
      <c r="I15">
        <f t="shared" si="1"/>
        <v>250</v>
      </c>
    </row>
    <row r="16" spans="1:10" x14ac:dyDescent="0.25">
      <c r="A16" t="s">
        <v>51</v>
      </c>
      <c r="B16" s="9">
        <v>400</v>
      </c>
      <c r="C16" s="9"/>
      <c r="D16" s="9">
        <v>0</v>
      </c>
      <c r="E16" s="9"/>
      <c r="I16">
        <f t="shared" si="1"/>
        <v>400</v>
      </c>
    </row>
    <row r="17" spans="1:10" x14ac:dyDescent="0.25">
      <c r="A17" t="s">
        <v>52</v>
      </c>
      <c r="B17" s="9">
        <v>500</v>
      </c>
      <c r="C17" s="9"/>
      <c r="D17" s="9">
        <v>0</v>
      </c>
      <c r="E17" s="9"/>
      <c r="I17">
        <f t="shared" si="1"/>
        <v>500</v>
      </c>
    </row>
    <row r="18" spans="1:10" x14ac:dyDescent="0.25">
      <c r="A18" t="s">
        <v>53</v>
      </c>
      <c r="B18" s="9">
        <v>423</v>
      </c>
      <c r="C18" s="9"/>
      <c r="D18" s="9">
        <v>0</v>
      </c>
      <c r="E18" s="9"/>
      <c r="I18">
        <f t="shared" si="1"/>
        <v>423</v>
      </c>
    </row>
    <row r="19" spans="1:10" x14ac:dyDescent="0.25">
      <c r="A19" s="1" t="s">
        <v>54</v>
      </c>
      <c r="B19" s="9"/>
      <c r="C19" s="9"/>
      <c r="D19" s="9"/>
      <c r="E19" s="9"/>
    </row>
    <row r="20" spans="1:10" x14ac:dyDescent="0.25">
      <c r="A20" t="s">
        <v>55</v>
      </c>
      <c r="B20" s="9">
        <v>8.9</v>
      </c>
      <c r="C20" s="9"/>
      <c r="D20" s="9">
        <v>0</v>
      </c>
      <c r="E20" s="9"/>
      <c r="I20">
        <f t="shared" ref="I20:I26" si="2">IF($H$2=$B$1,B20,D20)</f>
        <v>8.9</v>
      </c>
    </row>
    <row r="21" spans="1:10" x14ac:dyDescent="0.25">
      <c r="A21" t="s">
        <v>56</v>
      </c>
      <c r="B21" s="9">
        <v>18.8</v>
      </c>
      <c r="C21" s="9"/>
      <c r="D21" s="9">
        <v>0</v>
      </c>
      <c r="E21" s="9"/>
      <c r="I21">
        <f t="shared" si="2"/>
        <v>18.8</v>
      </c>
    </row>
    <row r="22" spans="1:10" x14ac:dyDescent="0.25">
      <c r="A22" t="s">
        <v>57</v>
      </c>
      <c r="B22" s="9">
        <v>39</v>
      </c>
      <c r="C22" s="9">
        <v>8.25</v>
      </c>
      <c r="D22" s="9">
        <v>0</v>
      </c>
      <c r="E22" s="9">
        <v>0</v>
      </c>
      <c r="I22">
        <f t="shared" si="2"/>
        <v>39</v>
      </c>
      <c r="J22">
        <f>IF($H$2=$B$1,C22,E22)</f>
        <v>8.25</v>
      </c>
    </row>
    <row r="23" spans="1:10" x14ac:dyDescent="0.25">
      <c r="A23" t="s">
        <v>58</v>
      </c>
      <c r="B23" s="9">
        <v>69</v>
      </c>
      <c r="C23" s="9">
        <v>6.25</v>
      </c>
      <c r="D23" s="9">
        <v>0</v>
      </c>
      <c r="E23" s="9">
        <v>0</v>
      </c>
      <c r="I23">
        <f t="shared" si="2"/>
        <v>69</v>
      </c>
      <c r="J23">
        <f>IF($H$2=$B$1,C23,E23)</f>
        <v>6.25</v>
      </c>
    </row>
    <row r="24" spans="1:10" x14ac:dyDescent="0.25">
      <c r="A24" t="s">
        <v>59</v>
      </c>
      <c r="B24" s="9">
        <v>99</v>
      </c>
      <c r="C24" s="9">
        <v>4.1500000000000004</v>
      </c>
      <c r="D24" s="9">
        <v>0</v>
      </c>
      <c r="E24" s="9">
        <v>0</v>
      </c>
      <c r="I24">
        <f t="shared" si="2"/>
        <v>99</v>
      </c>
      <c r="J24">
        <f>IF($H$2=$B$1,C24,E24)</f>
        <v>4.1500000000000004</v>
      </c>
    </row>
    <row r="25" spans="1:10" x14ac:dyDescent="0.25">
      <c r="A25" t="s">
        <v>60</v>
      </c>
      <c r="B25" s="9">
        <v>0</v>
      </c>
      <c r="C25" s="9">
        <v>15</v>
      </c>
      <c r="D25" s="9">
        <v>0</v>
      </c>
      <c r="E25" s="9">
        <v>0</v>
      </c>
      <c r="I25">
        <f t="shared" si="2"/>
        <v>0</v>
      </c>
      <c r="J25">
        <f>IF($H$2=$B$1,C25,E25)</f>
        <v>15</v>
      </c>
    </row>
    <row r="26" spans="1:10" x14ac:dyDescent="0.25">
      <c r="A26" s="6" t="s">
        <v>61</v>
      </c>
      <c r="B26" s="7">
        <v>0</v>
      </c>
      <c r="C26" s="7">
        <v>6</v>
      </c>
      <c r="D26" s="7">
        <v>0</v>
      </c>
      <c r="E26" s="7">
        <v>0</v>
      </c>
      <c r="F26" s="6"/>
      <c r="I26">
        <f t="shared" si="2"/>
        <v>0</v>
      </c>
      <c r="J26">
        <f>IF($H$2=$B$1,C26,E26)</f>
        <v>6</v>
      </c>
    </row>
    <row r="28" spans="1:10" x14ac:dyDescent="0.25">
      <c r="A28" s="5" t="s">
        <v>62</v>
      </c>
    </row>
    <row r="29" spans="1:10" x14ac:dyDescent="0.25">
      <c r="A29" s="5" t="s">
        <v>63</v>
      </c>
      <c r="B29" s="5" t="s">
        <v>66</v>
      </c>
      <c r="C29" s="5" t="s">
        <v>67</v>
      </c>
    </row>
    <row r="30" spans="1:10" x14ac:dyDescent="0.25">
      <c r="A30" t="str">
        <f>B1</f>
        <v>K-S MYK</v>
      </c>
      <c r="B30" t="str">
        <f>B2</f>
        <v>Yes</v>
      </c>
      <c r="C30" t="str" cm="1">
        <f t="array" ref="C30">_xlfn._xlws.FILTER(A30:A31,B30:B31="Yes","")</f>
        <v>K-S MYK</v>
      </c>
    </row>
    <row r="31" spans="1:10" x14ac:dyDescent="0.25">
      <c r="A31" t="str">
        <f>D1</f>
        <v>Konnektio</v>
      </c>
      <c r="B31" t="str">
        <f>D2</f>
        <v>No</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D1AA4-9968-4C06-A5C3-744921ABB4D3}">
  <dimension ref="A1:D18"/>
  <sheetViews>
    <sheetView workbookViewId="0">
      <selection activeCell="J12" sqref="J12"/>
    </sheetView>
  </sheetViews>
  <sheetFormatPr defaultRowHeight="15" x14ac:dyDescent="0.25"/>
  <cols>
    <col min="1" max="1" width="28.28515625" customWidth="1"/>
  </cols>
  <sheetData>
    <row r="1" spans="1:4" x14ac:dyDescent="0.25">
      <c r="A1" s="5" t="s">
        <v>71</v>
      </c>
    </row>
    <row r="2" spans="1:4" x14ac:dyDescent="0.25">
      <c r="A2" s="6" t="s">
        <v>72</v>
      </c>
      <c r="B2" s="6">
        <v>36</v>
      </c>
    </row>
    <row r="3" spans="1:4" x14ac:dyDescent="0.25">
      <c r="A3" s="6" t="s">
        <v>73</v>
      </c>
      <c r="B3" s="7">
        <v>38</v>
      </c>
    </row>
    <row r="4" spans="1:4" x14ac:dyDescent="0.25">
      <c r="A4" s="6" t="s">
        <v>74</v>
      </c>
      <c r="B4" s="7">
        <v>11.5</v>
      </c>
    </row>
    <row r="5" spans="1:4" x14ac:dyDescent="0.25">
      <c r="A5" s="6" t="s">
        <v>75</v>
      </c>
      <c r="B5" s="7">
        <v>25</v>
      </c>
    </row>
    <row r="6" spans="1:4" x14ac:dyDescent="0.25">
      <c r="A6" s="6" t="s">
        <v>76</v>
      </c>
      <c r="B6" s="10">
        <f>B3*(1+B4/100)*(1+B5/100)</f>
        <v>52.962499999999999</v>
      </c>
      <c r="C6" s="11" t="s">
        <v>84</v>
      </c>
    </row>
    <row r="7" spans="1:4" x14ac:dyDescent="0.25">
      <c r="A7" s="6" t="s">
        <v>77</v>
      </c>
      <c r="B7" s="7">
        <v>0.3</v>
      </c>
    </row>
    <row r="8" spans="1:4" x14ac:dyDescent="0.25">
      <c r="A8" s="6" t="s">
        <v>78</v>
      </c>
      <c r="B8" s="7">
        <v>30</v>
      </c>
    </row>
    <row r="9" spans="1:4" x14ac:dyDescent="0.25">
      <c r="A9" s="6" t="s">
        <v>79</v>
      </c>
      <c r="B9" s="7">
        <v>60</v>
      </c>
    </row>
    <row r="10" spans="1:4" x14ac:dyDescent="0.25">
      <c r="A10" s="6" t="s">
        <v>80</v>
      </c>
      <c r="B10" s="7">
        <v>80</v>
      </c>
    </row>
    <row r="12" spans="1:4" x14ac:dyDescent="0.25">
      <c r="A12" s="5" t="s">
        <v>81</v>
      </c>
      <c r="C12" s="11" t="s">
        <v>85</v>
      </c>
    </row>
    <row r="13" spans="1:4" x14ac:dyDescent="0.25">
      <c r="A13" s="5" t="s">
        <v>82</v>
      </c>
      <c r="B13" s="5" t="s">
        <v>83</v>
      </c>
    </row>
    <row r="14" spans="1:4" x14ac:dyDescent="0.25">
      <c r="A14" s="7">
        <v>0</v>
      </c>
      <c r="B14" s="7">
        <v>200</v>
      </c>
      <c r="C14" s="11" t="s">
        <v>0</v>
      </c>
      <c r="D14" s="11" t="s">
        <v>89</v>
      </c>
    </row>
    <row r="15" spans="1:4" x14ac:dyDescent="0.25">
      <c r="A15" s="7">
        <v>25</v>
      </c>
      <c r="B15" s="7">
        <v>400</v>
      </c>
      <c r="C15" s="11" t="s">
        <v>86</v>
      </c>
      <c r="D15" s="11" t="s">
        <v>90</v>
      </c>
    </row>
    <row r="16" spans="1:4" x14ac:dyDescent="0.25">
      <c r="A16" s="7">
        <v>51</v>
      </c>
      <c r="B16" s="7">
        <v>800</v>
      </c>
      <c r="C16" s="11" t="s">
        <v>87</v>
      </c>
      <c r="D16" s="11" t="s">
        <v>91</v>
      </c>
    </row>
    <row r="17" spans="1:4" x14ac:dyDescent="0.25">
      <c r="A17" s="7">
        <v>76</v>
      </c>
      <c r="B17" s="7">
        <v>1200</v>
      </c>
      <c r="C17" s="11" t="s">
        <v>88</v>
      </c>
      <c r="D17" s="11" t="s">
        <v>92</v>
      </c>
    </row>
    <row r="18" spans="1:4" x14ac:dyDescent="0.25">
      <c r="A18" s="7">
        <v>101</v>
      </c>
      <c r="B18" s="7">
        <v>1500</v>
      </c>
      <c r="C18" s="11" t="s">
        <v>1</v>
      </c>
      <c r="D18" s="11" t="s">
        <v>93</v>
      </c>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BC74E-C92F-4039-B253-F9F498E730C1}">
  <dimension ref="A1:F64"/>
  <sheetViews>
    <sheetView zoomScale="98" zoomScaleNormal="98" workbookViewId="0">
      <selection activeCell="B14" sqref="B14"/>
    </sheetView>
  </sheetViews>
  <sheetFormatPr defaultRowHeight="15" outlineLevelRow="1" x14ac:dyDescent="0.25"/>
  <cols>
    <col min="1" max="1" width="36.140625" customWidth="1"/>
    <col min="2" max="2" width="29.42578125" customWidth="1"/>
    <col min="3" max="3" width="59.85546875" customWidth="1"/>
    <col min="4" max="4" width="11.5703125" customWidth="1"/>
    <col min="9" max="9" width="14.42578125" customWidth="1"/>
  </cols>
  <sheetData>
    <row r="1" spans="1:3" ht="18.75" x14ac:dyDescent="0.3">
      <c r="A1" s="12" t="s">
        <v>94</v>
      </c>
    </row>
    <row r="2" spans="1:3" x14ac:dyDescent="0.25">
      <c r="A2" s="13" t="s">
        <v>95</v>
      </c>
    </row>
    <row r="4" spans="1:3" x14ac:dyDescent="0.25">
      <c r="A4" s="14" t="s">
        <v>96</v>
      </c>
      <c r="B4" s="15"/>
      <c r="C4" s="15"/>
    </row>
    <row r="5" spans="1:3" x14ac:dyDescent="0.25">
      <c r="A5" s="16" t="s">
        <v>63</v>
      </c>
      <c r="B5" s="17" t="s">
        <v>3</v>
      </c>
      <c r="C5" s="18" t="s">
        <v>147</v>
      </c>
    </row>
    <row r="6" spans="1:3" x14ac:dyDescent="0.25">
      <c r="A6" t="s">
        <v>97</v>
      </c>
      <c r="B6" s="19">
        <v>50</v>
      </c>
      <c r="C6" s="20" t="s">
        <v>148</v>
      </c>
    </row>
    <row r="7" spans="1:3" x14ac:dyDescent="0.25">
      <c r="A7" t="s">
        <v>98</v>
      </c>
      <c r="B7" s="19">
        <v>0</v>
      </c>
      <c r="C7" s="20" t="s">
        <v>149</v>
      </c>
    </row>
    <row r="8" spans="1:3" x14ac:dyDescent="0.25">
      <c r="A8" t="s">
        <v>99</v>
      </c>
      <c r="B8" s="19">
        <v>0</v>
      </c>
      <c r="C8" s="20" t="s">
        <v>150</v>
      </c>
    </row>
    <row r="9" spans="1:3" x14ac:dyDescent="0.25">
      <c r="A9" t="s">
        <v>100</v>
      </c>
      <c r="B9" s="52">
        <f>SUM(B6:B8)</f>
        <v>50</v>
      </c>
      <c r="C9" s="20" t="s">
        <v>151</v>
      </c>
    </row>
    <row r="10" spans="1:3" x14ac:dyDescent="0.25">
      <c r="A10" t="s">
        <v>101</v>
      </c>
      <c r="B10" s="21">
        <v>15</v>
      </c>
      <c r="C10" s="20" t="s">
        <v>152</v>
      </c>
    </row>
    <row r="11" spans="1:3" x14ac:dyDescent="0.25">
      <c r="A11" t="s">
        <v>102</v>
      </c>
      <c r="B11" s="21">
        <v>3</v>
      </c>
      <c r="C11" s="20" t="s">
        <v>153</v>
      </c>
    </row>
    <row r="12" spans="1:3" x14ac:dyDescent="0.25">
      <c r="A12" t="s">
        <v>103</v>
      </c>
      <c r="B12" s="22">
        <v>10</v>
      </c>
      <c r="C12" s="20" t="s">
        <v>154</v>
      </c>
    </row>
    <row r="13" spans="1:3" x14ac:dyDescent="0.25">
      <c r="A13" t="s">
        <v>104</v>
      </c>
      <c r="B13" s="19">
        <v>5</v>
      </c>
      <c r="C13" s="20" t="s">
        <v>155</v>
      </c>
    </row>
    <row r="14" spans="1:3" x14ac:dyDescent="0.25">
      <c r="A14" t="s">
        <v>105</v>
      </c>
      <c r="B14" s="23" t="s">
        <v>50</v>
      </c>
      <c r="C14" s="20" t="s">
        <v>156</v>
      </c>
    </row>
    <row r="15" spans="1:3" x14ac:dyDescent="0.25">
      <c r="A15" t="s">
        <v>106</v>
      </c>
      <c r="B15" s="23" t="s">
        <v>65</v>
      </c>
      <c r="C15" s="20" t="s">
        <v>157</v>
      </c>
    </row>
    <row r="17" spans="1:3" x14ac:dyDescent="0.25">
      <c r="A17" s="24" t="s">
        <v>107</v>
      </c>
      <c r="B17" s="25"/>
      <c r="C17" s="25"/>
    </row>
    <row r="18" spans="1:3" x14ac:dyDescent="0.25">
      <c r="A18" t="s">
        <v>108</v>
      </c>
      <c r="B18" s="26">
        <f>B9*(1+B12/100)</f>
        <v>55.000000000000007</v>
      </c>
      <c r="C18" s="20" t="s">
        <v>158</v>
      </c>
    </row>
    <row r="19" spans="1:3" x14ac:dyDescent="0.25">
      <c r="A19" t="s">
        <v>109</v>
      </c>
      <c r="B19" s="27">
        <f>B9*B10*(1+B12/100)</f>
        <v>825.00000000000011</v>
      </c>
      <c r="C19" s="20" t="s">
        <v>159</v>
      </c>
    </row>
    <row r="20" spans="1:3" x14ac:dyDescent="0.25">
      <c r="A20" t="s">
        <v>110</v>
      </c>
      <c r="B20" s="27">
        <f>B9*(B10*2+B11)</f>
        <v>1650</v>
      </c>
      <c r="C20" s="20" t="s">
        <v>160</v>
      </c>
    </row>
    <row r="21" spans="1:3" x14ac:dyDescent="0.25">
      <c r="A21" t="s">
        <v>111</v>
      </c>
      <c r="B21" s="28">
        <f>IF(B10&lt;=30,Assumptions!B8,IF(B10&lt;=60,Assumptions!B9,Assumptions!B10))</f>
        <v>30</v>
      </c>
      <c r="C21" s="20" t="s">
        <v>161</v>
      </c>
    </row>
    <row r="22" spans="1:3" x14ac:dyDescent="0.25">
      <c r="A22" t="s">
        <v>112</v>
      </c>
      <c r="B22" s="56">
        <f>B20/B21</f>
        <v>55</v>
      </c>
      <c r="C22" s="20" t="s">
        <v>162</v>
      </c>
    </row>
    <row r="24" spans="1:3" x14ac:dyDescent="0.25">
      <c r="A24" s="29" t="s">
        <v>113</v>
      </c>
      <c r="B24" s="30"/>
      <c r="C24" s="30"/>
    </row>
    <row r="25" spans="1:3" x14ac:dyDescent="0.25">
      <c r="A25" t="s">
        <v>114</v>
      </c>
      <c r="B25" s="31">
        <f>B18*'Operator Prices'!I7</f>
        <v>235.40000000000003</v>
      </c>
      <c r="C25" s="20" t="s">
        <v>163</v>
      </c>
    </row>
    <row r="26" spans="1:3" x14ac:dyDescent="0.25">
      <c r="A26" t="s">
        <v>115</v>
      </c>
      <c r="B26" s="31">
        <f>B19*'Operator Prices'!I5</f>
        <v>965.25000000000011</v>
      </c>
      <c r="C26" s="20" t="s">
        <v>164</v>
      </c>
    </row>
    <row r="27" spans="1:3" x14ac:dyDescent="0.25">
      <c r="A27" t="s">
        <v>116</v>
      </c>
      <c r="B27" s="31">
        <f>B7*(1+$B$12/100)*'Operator Prices'!I9</f>
        <v>0</v>
      </c>
      <c r="C27" s="20" t="s">
        <v>165</v>
      </c>
    </row>
    <row r="28" spans="1:3" x14ac:dyDescent="0.25">
      <c r="A28" t="s">
        <v>117</v>
      </c>
      <c r="B28" s="31">
        <f>B8*(1+$B$12/100)*'Operator Prices'!I10</f>
        <v>0</v>
      </c>
      <c r="C28" s="20" t="s">
        <v>166</v>
      </c>
    </row>
    <row r="29" spans="1:3" x14ac:dyDescent="0.25">
      <c r="A29" s="1" t="s">
        <v>118</v>
      </c>
      <c r="B29" s="32">
        <f>SUM(B25:B28)</f>
        <v>1200.6500000000001</v>
      </c>
    </row>
    <row r="30" spans="1:3" x14ac:dyDescent="0.25">
      <c r="A30" t="s">
        <v>119</v>
      </c>
      <c r="B30" s="33">
        <f>B29/B20</f>
        <v>0.72766666666666668</v>
      </c>
      <c r="C30" s="20" t="s">
        <v>167</v>
      </c>
    </row>
    <row r="31" spans="1:3" x14ac:dyDescent="0.25">
      <c r="A31" s="6" t="s">
        <v>120</v>
      </c>
      <c r="B31" s="34">
        <f>B29/B22</f>
        <v>21.830000000000002</v>
      </c>
      <c r="C31" s="11" t="s">
        <v>168</v>
      </c>
    </row>
    <row r="33" spans="1:3" x14ac:dyDescent="0.25">
      <c r="A33" s="35" t="s">
        <v>121</v>
      </c>
      <c r="B33" s="36"/>
      <c r="C33" s="36"/>
    </row>
    <row r="34" spans="1:3" x14ac:dyDescent="0.25">
      <c r="A34" t="s">
        <v>122</v>
      </c>
      <c r="B34" s="31">
        <f>B29*Assumptions!B6/100</f>
        <v>635.89425625000001</v>
      </c>
      <c r="C34" s="20" t="str">
        <f>TEXT(Assumptions!B6,"0")&amp;" % of revenue"</f>
        <v>53 % of revenue</v>
      </c>
    </row>
    <row r="35" spans="1:3" x14ac:dyDescent="0.25">
      <c r="A35" t="s">
        <v>123</v>
      </c>
      <c r="B35" s="31">
        <f>B20*Assumptions!B7</f>
        <v>495</v>
      </c>
      <c r="C35" s="20" t="s">
        <v>169</v>
      </c>
    </row>
    <row r="36" spans="1:3" x14ac:dyDescent="0.25">
      <c r="A36" t="s">
        <v>124</v>
      </c>
      <c r="B36" s="31" cm="1">
        <f t="array" ref="B36">INDEX('Operator Prices'!I22:I26,B13)</f>
        <v>0</v>
      </c>
      <c r="C36" s="20" t="str" cm="1">
        <f t="array" ref="C36">INDEX('Operator Prices'!A22:A26,B13)</f>
        <v>Dispatch 5 Jytaksi</v>
      </c>
    </row>
    <row r="37" spans="1:3" x14ac:dyDescent="0.25">
      <c r="A37" t="s">
        <v>125</v>
      </c>
      <c r="B37" s="31" cm="1">
        <f t="array" ref="B37">B29*INDEX('Operator Prices'!J22:J26,B13)/100</f>
        <v>72.039000000000001</v>
      </c>
      <c r="C37" s="20" t="str" cm="1">
        <f t="array" ref="C37">TEXT(INDEX('Operator Prices'!J22:J26,B13),"0,00")&amp;" % of revenue"</f>
        <v>6,00 % of revenue</v>
      </c>
    </row>
    <row r="38" spans="1:3" x14ac:dyDescent="0.25">
      <c r="A38" t="s">
        <v>126</v>
      </c>
      <c r="B38" s="31">
        <f>IF(B15="Yes",'Operator Prices'!I21,'Operator Prices'!I20)</f>
        <v>8.9</v>
      </c>
      <c r="C38" s="20" t="s">
        <v>170</v>
      </c>
    </row>
    <row r="39" spans="1:3" x14ac:dyDescent="0.25">
      <c r="A39" t="s">
        <v>127</v>
      </c>
      <c r="B39" s="31">
        <f>(INDEX('Operator Prices'!I12:I17,MATCH(B14,'Operator Prices'!A12:A17,0))+'Operator Prices'!I18)/Assumptions!B2</f>
        <v>18.694444444444443</v>
      </c>
      <c r="C39" s="20" t="str">
        <f>"(joining + device) / "&amp;TEXT(Assumptions!B2,"0")&amp;" months"</f>
        <v>(joining + device) / 36 months</v>
      </c>
    </row>
    <row r="40" spans="1:3" x14ac:dyDescent="0.25">
      <c r="A40" s="1" t="s">
        <v>128</v>
      </c>
      <c r="B40" s="32">
        <f>SUM(B34:B39)</f>
        <v>1230.5277006944445</v>
      </c>
    </row>
    <row r="42" spans="1:3" x14ac:dyDescent="0.25">
      <c r="A42" s="37" t="s">
        <v>129</v>
      </c>
      <c r="B42" s="38"/>
      <c r="C42" s="38"/>
    </row>
    <row r="43" spans="1:3" x14ac:dyDescent="0.25">
      <c r="A43" s="1" t="s">
        <v>130</v>
      </c>
      <c r="B43" s="32">
        <f>B29-B40</f>
        <v>-29.877700694444457</v>
      </c>
      <c r="C43" t="s">
        <v>171</v>
      </c>
    </row>
    <row r="44" spans="1:3" x14ac:dyDescent="0.25">
      <c r="A44" t="s">
        <v>131</v>
      </c>
      <c r="B44" s="31">
        <f>VLOOKUP(B22,Assumptions!$A$14:$B$18,2,TRUE)</f>
        <v>800</v>
      </c>
      <c r="C44" s="20" t="str">
        <f>"driving time "&amp;TEXT(B22,"0")&amp;" h/month"</f>
        <v>driving time 55 h/month</v>
      </c>
    </row>
    <row r="45" spans="1:3" x14ac:dyDescent="0.25">
      <c r="A45" t="s">
        <v>132</v>
      </c>
      <c r="B45" s="39">
        <f>B43-B44</f>
        <v>-829.87770069444446</v>
      </c>
    </row>
    <row r="46" spans="1:3" x14ac:dyDescent="0.25">
      <c r="A46" s="1" t="s">
        <v>133</v>
      </c>
      <c r="B46" s="1" t="str">
        <f>IF(B45&gt;=0,"Yes – exceeds the margin target","No – falls below the margin target")</f>
        <v>No – falls below the margin target</v>
      </c>
    </row>
    <row r="48" spans="1:3" x14ac:dyDescent="0.25">
      <c r="A48" s="6" t="s">
        <v>134</v>
      </c>
      <c r="B48" s="40" cm="1">
        <f t="array" ref="B48">((B44+B35+B36+B38+B39)/(1-(Assumptions!B6+INDEX('Operator Prices'!J22:J26,B13))/100)-B25-B27-B28)/B19</f>
        <v>3.621202837595161</v>
      </c>
      <c r="C48" s="11" t="s">
        <v>172</v>
      </c>
    </row>
    <row r="49" spans="1:6" x14ac:dyDescent="0.25">
      <c r="A49" s="6" t="s">
        <v>135</v>
      </c>
      <c r="B49" s="41" t="str">
        <f>IF(D49&lt;0,"Negative value",D49)</f>
        <v>Negative value</v>
      </c>
      <c r="C49" s="11" t="s">
        <v>173</v>
      </c>
      <c r="D49" s="42">
        <f>((B29-B44-(B35+B36+B37+B38+B39))/B29*100)/((1+Assumptions!B4/100)*(1+Assumptions!B5/100))</f>
        <v>-11.592133151759198</v>
      </c>
    </row>
    <row r="50" spans="1:6" x14ac:dyDescent="0.25">
      <c r="A50" s="43" t="s">
        <v>136</v>
      </c>
      <c r="B50" s="44" t="str">
        <f>IF(D50&gt;250,"Unrealistic workload",D50)</f>
        <v>Unrealistic workload</v>
      </c>
      <c r="C50" s="20" t="str">
        <f>IF(E50="","Margin does not exceed the margin target with any realistic trip volume","requires approx. "&amp;TEXT(E50,"0")&amp;" trips/month for margin to exceed the target")</f>
        <v>Margin does not exceed the margin target with any realistic trip volume</v>
      </c>
      <c r="D50" s="45">
        <f>IFERROR(INDEX($E$59:$E$63,MATCH(TRUE,$F$59:$F$63,0)),100000)</f>
        <v>100000</v>
      </c>
      <c r="E50" s="46" t="str">
        <f>IFERROR(INDEX($D$59:$D$63,MATCH(TRUE,$F$59:$F$63,0)),"")</f>
        <v/>
      </c>
    </row>
    <row r="52" spans="1:6" hidden="1" outlineLevel="1" x14ac:dyDescent="0.25">
      <c r="A52" s="47" t="s">
        <v>137</v>
      </c>
    </row>
    <row r="53" spans="1:6" hidden="1" outlineLevel="1" x14ac:dyDescent="0.25">
      <c r="A53" s="43" t="s">
        <v>138</v>
      </c>
      <c r="B53" s="48" cm="1">
        <f t="array" ref="B53">(('Operator Prices'!I7+$B$10*'Operator Prices'!I5)*(1+$B$12/100))*(1-(Assumptions!$B$6+INDEX('Operator Prices'!$J$22:$J$26,$B$13))/100)-($B$10*2+$B$11)*Assumptions!$B$7</f>
        <v>-4.5665124999999307E-2</v>
      </c>
    </row>
    <row r="54" spans="1:6" hidden="1" outlineLevel="1" x14ac:dyDescent="0.25">
      <c r="A54" s="43" t="s">
        <v>139</v>
      </c>
      <c r="B54" s="48" cm="1">
        <f t="array" ref="B54">'Operator Prices'!I9*(1+$B$12/100)*(1-(Assumptions!$B$6+INDEX('Operator Prices'!$J$22:$J$26,$B$13))/100)</f>
        <v>5.1461025000000014</v>
      </c>
      <c r="C54" t="s">
        <v>174</v>
      </c>
    </row>
    <row r="55" spans="1:6" hidden="1" outlineLevel="1" x14ac:dyDescent="0.25">
      <c r="A55" s="43" t="s">
        <v>140</v>
      </c>
      <c r="B55" s="48" cm="1">
        <f t="array" ref="B55">'Operator Prices'!I10*(1+$B$12/100)*(1-(Assumptions!$B$6+INDEX('Operator Prices'!$J$22:$J$26,$B$13))/100)</f>
        <v>9.8633631250000029</v>
      </c>
      <c r="C55" t="s">
        <v>175</v>
      </c>
    </row>
    <row r="56" spans="1:6" hidden="1" outlineLevel="1" x14ac:dyDescent="0.25">
      <c r="A56" s="43" t="s">
        <v>141</v>
      </c>
      <c r="B56" s="48">
        <f>B53+(B7*B54+B8*B55)/B9</f>
        <v>-4.5665124999999307E-2</v>
      </c>
      <c r="C56" t="s">
        <v>176</v>
      </c>
    </row>
    <row r="57" spans="1:6" hidden="1" outlineLevel="1" x14ac:dyDescent="0.25">
      <c r="A57" s="43" t="s">
        <v>142</v>
      </c>
      <c r="B57" s="48">
        <f>B36+B38+B39</f>
        <v>27.594444444444441</v>
      </c>
    </row>
    <row r="58" spans="1:6" hidden="1" outlineLevel="1" x14ac:dyDescent="0.25">
      <c r="A58" s="1" t="s">
        <v>143</v>
      </c>
      <c r="B58" s="1" t="s">
        <v>178</v>
      </c>
      <c r="C58" s="1" t="s">
        <v>177</v>
      </c>
      <c r="D58" s="1" t="s">
        <v>144</v>
      </c>
      <c r="E58" s="1" t="s">
        <v>145</v>
      </c>
      <c r="F58" s="1" t="s">
        <v>146</v>
      </c>
    </row>
    <row r="59" spans="1:6" hidden="1" outlineLevel="1" x14ac:dyDescent="0.25">
      <c r="A59" s="26">
        <f>Assumptions!A14</f>
        <v>0</v>
      </c>
      <c r="B59" s="49">
        <f>Assumptions!B14</f>
        <v>200</v>
      </c>
      <c r="C59" s="26">
        <f>Assumptions!A15</f>
        <v>25</v>
      </c>
      <c r="D59" s="26">
        <f>IFERROR(ROUNDUP(($B$57+B59)/$B$56,0),"")</f>
        <v>-4984</v>
      </c>
      <c r="E59" s="50">
        <f>IFERROR(D59*($B$10*2+$B$11)/$B$21,"")</f>
        <v>-5482.4</v>
      </c>
      <c r="F59" t="b">
        <f>IF(AND(ISNUMBER(E59),E59&gt;=A59,E59&lt;C59),TRUE,FALSE)</f>
        <v>0</v>
      </c>
    </row>
    <row r="60" spans="1:6" hidden="1" outlineLevel="1" x14ac:dyDescent="0.25">
      <c r="A60" s="26">
        <f>Assumptions!A15</f>
        <v>25</v>
      </c>
      <c r="B60" s="49">
        <f>Assumptions!B15</f>
        <v>400</v>
      </c>
      <c r="C60" s="26">
        <f>Assumptions!A16</f>
        <v>51</v>
      </c>
      <c r="D60" s="26">
        <f>IFERROR(ROUNDUP(($B$57+B60)/$B$56,0),"")</f>
        <v>-9364</v>
      </c>
      <c r="E60" s="50">
        <f t="shared" ref="E60:E63" si="0">IFERROR(D60*($B$10*2+$B$11)/$B$21,"")</f>
        <v>-10300.4</v>
      </c>
      <c r="F60" t="b">
        <f t="shared" ref="F60:F63" si="1">IF(AND(ISNUMBER(E60),E60&gt;=A60,E60&lt;C60),TRUE,FALSE)</f>
        <v>0</v>
      </c>
    </row>
    <row r="61" spans="1:6" hidden="1" outlineLevel="1" x14ac:dyDescent="0.25">
      <c r="A61" s="26">
        <f>Assumptions!A16</f>
        <v>51</v>
      </c>
      <c r="B61" s="49">
        <f>Assumptions!B16</f>
        <v>800</v>
      </c>
      <c r="C61" s="26">
        <f>Assumptions!A17</f>
        <v>76</v>
      </c>
      <c r="D61" s="26">
        <f>IFERROR(ROUNDUP(($B$57+B61)/$B$56,0),"")</f>
        <v>-18124</v>
      </c>
      <c r="E61" s="50">
        <f t="shared" si="0"/>
        <v>-19936.400000000001</v>
      </c>
      <c r="F61" t="b">
        <f t="shared" si="1"/>
        <v>0</v>
      </c>
    </row>
    <row r="62" spans="1:6" hidden="1" outlineLevel="1" x14ac:dyDescent="0.25">
      <c r="A62" s="26">
        <f>Assumptions!A17</f>
        <v>76</v>
      </c>
      <c r="B62" s="49">
        <f>Assumptions!B17</f>
        <v>1200</v>
      </c>
      <c r="C62" s="26">
        <f>Assumptions!A18</f>
        <v>101</v>
      </c>
      <c r="D62" s="26">
        <f>IFERROR(ROUNDUP(($B$57+B62)/$B$56,0),"")</f>
        <v>-26883</v>
      </c>
      <c r="E62" s="50">
        <f t="shared" si="0"/>
        <v>-29571.3</v>
      </c>
      <c r="F62" t="b">
        <f t="shared" si="1"/>
        <v>0</v>
      </c>
    </row>
    <row r="63" spans="1:6" hidden="1" outlineLevel="1" x14ac:dyDescent="0.25">
      <c r="A63" s="26">
        <f>Assumptions!A18</f>
        <v>101</v>
      </c>
      <c r="B63" s="49">
        <f>Assumptions!B18</f>
        <v>1500</v>
      </c>
      <c r="C63" s="51">
        <v>100000</v>
      </c>
      <c r="D63" s="26">
        <f>IFERROR(ROUNDUP(($B$57+B63)/$B$56,0),"")</f>
        <v>-33453</v>
      </c>
      <c r="E63" s="50">
        <f t="shared" si="0"/>
        <v>-36798.300000000003</v>
      </c>
      <c r="F63" t="b">
        <f t="shared" si="1"/>
        <v>0</v>
      </c>
    </row>
    <row r="64" spans="1:6" collapsed="1" x14ac:dyDescent="0.25"/>
  </sheetData>
  <conditionalFormatting sqref="B46">
    <cfRule type="containsText" dxfId="2" priority="5" operator="containsText" text="Kyllä">
      <formula>NOT(ISERROR(SEARCH("Kyllä",B46)))</formula>
    </cfRule>
    <cfRule type="containsText" dxfId="1" priority="6" operator="containsText" text="Ei">
      <formula>NOT(ISERROR(SEARCH("Ei",B46)))</formula>
    </cfRule>
  </conditionalFormatting>
  <conditionalFormatting sqref="B49">
    <cfRule type="expression" dxfId="0" priority="7">
      <formula>$D$49&lt;0</formula>
    </cfRule>
  </conditionalFormatting>
  <dataValidations count="2">
    <dataValidation type="list" allowBlank="1" showInputMessage="1" showErrorMessage="1" sqref="B13" xr:uid="{6D579A80-D57A-4A18-BF7D-8BB6C53CFB0D}">
      <formula1>"1,2,3,4,5"</formula1>
    </dataValidation>
    <dataValidation type="list" allowBlank="1" showInputMessage="1" showErrorMessage="1" sqref="B15" xr:uid="{7F929C47-5EF0-48DC-B310-3D99CA66DA29}">
      <formula1>"Yes,No"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EFC5E1A-A722-4EF9-968C-050C3D539229}">
          <x14:formula1>
            <xm:f>'Operator Prices'!$A$12:$A$17</xm:f>
          </x14:formula1>
          <xm:sqref>B14</xm:sqref>
        </x14:dataValidation>
        <x14:dataValidation type="list" allowBlank="1" showInputMessage="1" showErrorMessage="1" xr:uid="{A41372BE-3EC5-4327-8610-E88F36C0CD94}">
          <x14:formula1>
            <xm:f>'Operator Prices'!$C$30:$C$31</xm:f>
          </x14:formula1>
          <xm:sqref>B5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5</vt:i4>
      </vt:variant>
    </vt:vector>
  </HeadingPairs>
  <TitlesOfParts>
    <vt:vector size="5" baseType="lpstr">
      <vt:lpstr>Home</vt:lpstr>
      <vt:lpstr>Service Providers</vt:lpstr>
      <vt:lpstr>Operator Prices</vt:lpstr>
      <vt:lpstr>Assumptions</vt:lpstr>
      <vt:lpstr>Calculator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Harri Kolu</dc:creator>
  <cp:keywords/>
  <dc:description/>
  <cp:lastModifiedBy>Harri Kolu</cp:lastModifiedBy>
  <cp:revision/>
  <dcterms:created xsi:type="dcterms:W3CDTF">2026-06-30T15:27:53Z</dcterms:created>
  <dcterms:modified xsi:type="dcterms:W3CDTF">2026-07-13T08:28:51Z</dcterms:modified>
  <cp:category/>
  <cp:contentStatus/>
</cp:coreProperties>
</file>